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215" windowHeight="7380" firstSheet="9" activeTab="5"/>
  </bookViews>
  <sheets>
    <sheet name="Estado de Situación Financiera " sheetId="1" r:id="rId1"/>
    <sheet name="Estado Rendimiento Financiero" sheetId="2" r:id="rId2"/>
    <sheet name="ECANP-Cambio Patrimonio" sheetId="3" r:id="rId3"/>
    <sheet name="Flujo de Efectivo" sheetId="4" r:id="rId4"/>
    <sheet name="Estado Comparativo" sheetId="5" r:id="rId5"/>
    <sheet name="Notas Estado de Situación" sheetId="6" r:id="rId6"/>
    <sheet name="Notas Estado de Resultados" sheetId="7" r:id="rId7"/>
    <sheet name="Relación de Ingresos 2022" sheetId="8" r:id="rId8"/>
    <sheet name="Nota a los Ingresos 2022 " sheetId="9" r:id="rId9"/>
    <sheet name="Célula No.14 AF DIGECOG" sheetId="10" r:id="rId10"/>
    <sheet name="Depreciación Acumulada" sheetId="11" r:id="rId11"/>
    <sheet name="Relación de Cuentas Por Pagar" sheetId="12" r:id="rId12"/>
  </sheets>
  <externalReferences>
    <externalReference r:id="rId15"/>
    <externalReference r:id="rId16"/>
    <externalReference r:id="rId17"/>
    <externalReference r:id="rId18"/>
    <externalReference r:id="rId19"/>
    <externalReference r:id="rId20"/>
    <externalReference r:id="rId21"/>
  </externalReferences>
  <definedNames>
    <definedName name="_xlnm.Print_Area" localSheetId="0">'Estado de Situación Financiera '!$A$1:$I$72</definedName>
    <definedName name="_xlnm.Print_Area" localSheetId="3">'Flujo de Efectivo'!$A$1:$H$82</definedName>
    <definedName name="_xlnm.Print_Area" localSheetId="8">'Nota a los Ingresos 2022 '!$A$1:$U$32</definedName>
    <definedName name="_xlnm.Print_Area" localSheetId="6">'Notas Estado de Resultados'!$A$1:$AR$384</definedName>
    <definedName name="_xlnm.Print_Area" localSheetId="5">'Notas Estado de Situación'!$A$1:$AM$710</definedName>
    <definedName name="_xlnm.Print_Area" localSheetId="7">'Relación de Ingresos 2022'!$A$1:$J$80</definedName>
    <definedName name="_xlnm.Print_Titles" localSheetId="10">'Depreciación Acumulada'!$1:$3</definedName>
    <definedName name="_xlnm.Print_Titles" localSheetId="6">'Notas Estado de Resultados'!$1:$7</definedName>
    <definedName name="_xlnm.Print_Titles" localSheetId="5">'Notas Estado de Situación'!$1:$8</definedName>
  </definedNames>
  <calcPr fullCalcOnLoad="1"/>
</workbook>
</file>

<file path=xl/comments7.xml><?xml version="1.0" encoding="utf-8"?>
<comments xmlns="http://schemas.openxmlformats.org/spreadsheetml/2006/main">
  <authors>
    <author>Yenny Acosta Hernandez</author>
  </authors>
  <commentList>
    <comment ref="S66" authorId="0">
      <text>
        <r>
          <rPr>
            <b/>
            <sz val="9"/>
            <rFont val="Tahoma"/>
            <family val="2"/>
          </rPr>
          <t>Yenny Acosta Hernandez:</t>
        </r>
        <r>
          <rPr>
            <sz val="9"/>
            <rFont val="Tahoma"/>
            <family val="2"/>
          </rPr>
          <t xml:space="preserve">
PARA REGISTRAR FACTURA CON NCF B1500262768, POR SERVICIO DE ENERGIA ELECTRICA MES DE DICIEMBRE 2021.DEL 02/11/2021-02/12/2021.</t>
        </r>
      </text>
    </comment>
    <comment ref="U75" authorId="0">
      <text>
        <r>
          <rPr>
            <b/>
            <sz val="9"/>
            <rFont val="Tahoma"/>
            <family val="2"/>
          </rPr>
          <t>Yenny Acosta Hernandez:</t>
        </r>
        <r>
          <rPr>
            <sz val="9"/>
            <rFont val="Tahoma"/>
            <family val="2"/>
          </rPr>
          <t xml:space="preserve">
LLEVADA A INVENTARIO</t>
        </r>
      </text>
    </comment>
    <comment ref="T81" authorId="0">
      <text>
        <r>
          <rPr>
            <b/>
            <sz val="9"/>
            <rFont val="Tahoma"/>
            <family val="2"/>
          </rPr>
          <t>Yenny Acosta Hernandez:</t>
        </r>
        <r>
          <rPr>
            <sz val="9"/>
            <rFont val="Tahoma"/>
            <family val="2"/>
          </rPr>
          <t xml:space="preserve">
Liq. Transferencias No.099/2022</t>
        </r>
      </text>
    </comment>
    <comment ref="T82" authorId="0">
      <text>
        <r>
          <rPr>
            <b/>
            <sz val="9"/>
            <rFont val="Tahoma"/>
            <family val="2"/>
          </rPr>
          <t>Yenny Acosta Hernandez:</t>
        </r>
        <r>
          <rPr>
            <sz val="9"/>
            <rFont val="Tahoma"/>
            <family val="2"/>
          </rPr>
          <t xml:space="preserve">
TRF-2022/159
</t>
        </r>
      </text>
    </comment>
  </commentList>
</comments>
</file>

<file path=xl/sharedStrings.xml><?xml version="1.0" encoding="utf-8"?>
<sst xmlns="http://schemas.openxmlformats.org/spreadsheetml/2006/main" count="1557" uniqueCount="1147">
  <si>
    <t>Materiales y Suministros</t>
  </si>
  <si>
    <t>OFICINA NACIONAL DE LA PROPIEDAD INDUSTRIAL</t>
  </si>
  <si>
    <t>Gastos Financieros</t>
  </si>
  <si>
    <t>Gastos de Depreciación</t>
  </si>
  <si>
    <t>Abanicos</t>
  </si>
  <si>
    <t>Camionetas</t>
  </si>
  <si>
    <t>Motores</t>
  </si>
  <si>
    <t>Escopetas</t>
  </si>
  <si>
    <t>Equipos de Comunicacion</t>
  </si>
  <si>
    <t>Equipos de Cocina</t>
  </si>
  <si>
    <t>Neveras O-Central</t>
  </si>
  <si>
    <t>Neveras O-Este</t>
  </si>
  <si>
    <t>Neveras O-Norte</t>
  </si>
  <si>
    <t>Microondas O-Central</t>
  </si>
  <si>
    <t>Microondas O-Norte</t>
  </si>
  <si>
    <t>Microondas O-Este</t>
  </si>
  <si>
    <t>Lavadoras</t>
  </si>
  <si>
    <t>Inversores O-Central</t>
  </si>
  <si>
    <t>Inversores O-Este</t>
  </si>
  <si>
    <t>Inversores O-Norte</t>
  </si>
  <si>
    <t>Obras de Arte</t>
  </si>
  <si>
    <t>Activos Diferidos</t>
  </si>
  <si>
    <t>Activos Intangibles</t>
  </si>
  <si>
    <t>Onapi Central</t>
  </si>
  <si>
    <t>Onapi Norte</t>
  </si>
  <si>
    <t>Onapi Este</t>
  </si>
  <si>
    <t>Menos:</t>
  </si>
  <si>
    <t>RELACION DEPRECIACION ACUMULADA</t>
  </si>
  <si>
    <t>MUEBLES Y ENSERES-DEPRECIACION ACUMULADA</t>
  </si>
  <si>
    <t>Muebles y Enseres</t>
  </si>
  <si>
    <t>Maquinas y Fax</t>
  </si>
  <si>
    <t>Fotocopiadoras</t>
  </si>
  <si>
    <t>Aires Acondicionados</t>
  </si>
  <si>
    <t>Máquinas y Sumadoras</t>
  </si>
  <si>
    <t>Equipo de Educación y Recreativo</t>
  </si>
  <si>
    <t>Otros Mobiliarios y Equipos Onapi S.C.</t>
  </si>
  <si>
    <t>Otras Depreciación Acumuladas Mob. Y Equipos</t>
  </si>
  <si>
    <t>Total Depreciación Muebles de Oficina S.C.</t>
  </si>
  <si>
    <t>Total Depreciación Muebles de Oficina Santiago</t>
  </si>
  <si>
    <t>Otros Mobiliarios y Equipos Onapi S.F.M.</t>
  </si>
  <si>
    <t>Total Depreciación Muebles de Oficina San Francisco de Macoris</t>
  </si>
  <si>
    <t>EQUIPO DE TRANSPORTE-DEPRECIACION ACUMULADA</t>
  </si>
  <si>
    <t>Jeepeta y Minibus</t>
  </si>
  <si>
    <t>Total Depreciación Equipos de Transporte</t>
  </si>
  <si>
    <t>EQUIPO DE COMPUTOS S.C.-DEPRECIACION ACUMULADA</t>
  </si>
  <si>
    <t>Servidores C.P.U.</t>
  </si>
  <si>
    <t>Impresoras</t>
  </si>
  <si>
    <t>Scanner</t>
  </si>
  <si>
    <t>Monitores</t>
  </si>
  <si>
    <t>Dep. Otros Mobiliarios Equipos  de Computos</t>
  </si>
  <si>
    <t>Total Depreciación Equipos de Computos S.C.</t>
  </si>
  <si>
    <t>EQUIPO DE COMPUTOS NORTE-DEPRECIACION ACUMULADA</t>
  </si>
  <si>
    <t>Total Depreciación Equipos de Computos Norte</t>
  </si>
  <si>
    <t>Dep. Otro Equipos de Computos</t>
  </si>
  <si>
    <t>Total Depreciación Equipos de Computos Oriental</t>
  </si>
  <si>
    <t>Total Depreciación Equipos de Computos S.F.M.</t>
  </si>
  <si>
    <t>EQUIPO DE SEGURIDAD-DEPRECIACION ACUMULADA</t>
  </si>
  <si>
    <t>Escopetas Onapi S.C.</t>
  </si>
  <si>
    <t>Dep. Otros Equipos de Seguridad</t>
  </si>
  <si>
    <t>Total Depreciación Equipos de Seguridad</t>
  </si>
  <si>
    <t>EQUIPO DE COMUNICACION-DEPRECIACION ACUMULADA</t>
  </si>
  <si>
    <t>Equipos de Comunicación</t>
  </si>
  <si>
    <t>Total Depreciación Equipos de Comunicación</t>
  </si>
  <si>
    <t>EQUIPO DE COCINA-DEPRECIACION ACUMULADA</t>
  </si>
  <si>
    <t>Neveras Onapi S.C.</t>
  </si>
  <si>
    <t>Neveras Onapi Oriental</t>
  </si>
  <si>
    <t>GENERADORES ELECTRICOS-DEPRECIACION ACUMULADA</t>
  </si>
  <si>
    <t>Inversores Onapi S.C.</t>
  </si>
  <si>
    <t>Inversores Onapi Oriental</t>
  </si>
  <si>
    <t>Inversores Onapi Santiago</t>
  </si>
  <si>
    <t>Total Depreciación Generadores Eléctricos</t>
  </si>
  <si>
    <t>MAQUINARIAS Y EQUIPOS -DEPRECIACION ACUMULADA</t>
  </si>
  <si>
    <t>Plantas Eléctricas Onapi Central</t>
  </si>
  <si>
    <t>Otras Depreciaciones Acum. Equipos Eléctricos</t>
  </si>
  <si>
    <t>Depreciación Acumulada Sistema de Tratamiento de Agua</t>
  </si>
  <si>
    <t>Total Depreciación Maquinarias y Equipos</t>
  </si>
  <si>
    <t>AMORTIZACION ACTIVOS INTANGIBLES</t>
  </si>
  <si>
    <t>Sistemas</t>
  </si>
  <si>
    <t>Programas de Computos</t>
  </si>
  <si>
    <t>Total Depreciación Activos Intangibles</t>
  </si>
  <si>
    <t xml:space="preserve">       Oficina Nacional de La Propiedad Industrial </t>
  </si>
  <si>
    <t xml:space="preserve">                      O N A P I</t>
  </si>
  <si>
    <t xml:space="preserve">                  Estado de Resultados </t>
  </si>
  <si>
    <t>Notas a los Estados Financieros</t>
  </si>
  <si>
    <t xml:space="preserve">         Valores en RD$</t>
  </si>
  <si>
    <t>Efectivo en Caja y Banco</t>
  </si>
  <si>
    <t>El balance de esta cuenta se compone de las siguientes partidas,</t>
  </si>
  <si>
    <t>Cajas</t>
  </si>
  <si>
    <t>Caja General</t>
  </si>
  <si>
    <t>Caja Chica Juridica</t>
  </si>
  <si>
    <t>Caja Chica US$</t>
  </si>
  <si>
    <t>Fondo para Celebraciones</t>
  </si>
  <si>
    <t>Fondo Operacional</t>
  </si>
  <si>
    <t>Fondo Fijo San Francisco de Macoris</t>
  </si>
  <si>
    <t>Sub-Total Cajas Chicas y Fondos</t>
  </si>
  <si>
    <t>Total en Cajas</t>
  </si>
  <si>
    <t>Banco de Reservas Cta. 010-241433-5</t>
  </si>
  <si>
    <t>*</t>
  </si>
  <si>
    <t>Banco de Reservas Cta. 010-250249-8</t>
  </si>
  <si>
    <t>Banco de Reservas Cta. 010-249554-8 Nominas</t>
  </si>
  <si>
    <t>Total de Efectivos en Bancos</t>
  </si>
  <si>
    <t>Total en Cajas  y Bancos</t>
  </si>
  <si>
    <t>Cuentas por Cobrar</t>
  </si>
  <si>
    <t>Esta Cuenta se presenta Así,</t>
  </si>
  <si>
    <t>Documentos Por Cobrar Funcionarios</t>
  </si>
  <si>
    <t>Cuentas Por Cobrar Funcionarios y Empleados</t>
  </si>
  <si>
    <t>Cuentas Por Cobrar Clientes</t>
  </si>
  <si>
    <t>Otras Cuentas Por Cobrar</t>
  </si>
  <si>
    <t>Reclamaciones a Ing. Dominga Acevedo</t>
  </si>
  <si>
    <t>**</t>
  </si>
  <si>
    <t>Reclamaciones a la DGII</t>
  </si>
  <si>
    <t>Total Cuentas por Cobrar</t>
  </si>
  <si>
    <t>Gastos Pagados por Anticipado</t>
  </si>
  <si>
    <t>Este Balance se Distribuye de la Forma siguiente,</t>
  </si>
  <si>
    <t>Seguro Riesgos Generales</t>
  </si>
  <si>
    <t>Seguro de Fidelidad</t>
  </si>
  <si>
    <t>Deposito Alquiler Oficina San Francisco de Macoris</t>
  </si>
  <si>
    <t>Total gastos pagados por Anticipado</t>
  </si>
  <si>
    <t>Mobiliarios y Equipos de Oficina</t>
  </si>
  <si>
    <t xml:space="preserve">El balance de esta cuenta representa el valor histórico de cada activo, así como </t>
  </si>
  <si>
    <t>Maquinas y Faxes</t>
  </si>
  <si>
    <t>Equipo Educacional y Recreativo</t>
  </si>
  <si>
    <t>Otros Mobiliarios y Equipos de Oficina</t>
  </si>
  <si>
    <t>Depreciación Acumulada</t>
  </si>
  <si>
    <t>Sub-Total</t>
  </si>
  <si>
    <t>Onapi  San Francisco de Macoris</t>
  </si>
  <si>
    <t>Lavadora</t>
  </si>
  <si>
    <t>Otros Equipos de Cocina</t>
  </si>
  <si>
    <t>Total Mobiliarios y Equipos de Oficina Netos</t>
  </si>
  <si>
    <t>Equipos de Transporte</t>
  </si>
  <si>
    <t>Equipos de Computos</t>
  </si>
  <si>
    <t>Onapi-Central</t>
  </si>
  <si>
    <t>Servidores CPU</t>
  </si>
  <si>
    <t>Scaner</t>
  </si>
  <si>
    <t>Otros Equipos de Computos</t>
  </si>
  <si>
    <t>Onapi-Este</t>
  </si>
  <si>
    <t>Onapi-Norte</t>
  </si>
  <si>
    <t>Onapi-San Francisco de Macoris</t>
  </si>
  <si>
    <t>Total Equipos de Computos Netos</t>
  </si>
  <si>
    <t xml:space="preserve">Maquinarias y Equipos </t>
  </si>
  <si>
    <t>Equipos de Seguridad</t>
  </si>
  <si>
    <t>Otros Equipos de Seguridad</t>
  </si>
  <si>
    <t>Generadores Electricos</t>
  </si>
  <si>
    <t>Otros Generadores Eléctricos</t>
  </si>
  <si>
    <t>Plantas Electricas</t>
  </si>
  <si>
    <t>Sistema de pre-Tratamiento de agua</t>
  </si>
  <si>
    <t>Equipos Varios</t>
  </si>
  <si>
    <t>Total</t>
  </si>
  <si>
    <t>Total Maquinarias y Equipos Netos</t>
  </si>
  <si>
    <t xml:space="preserve">         Al 31 de Diciembre 2011</t>
  </si>
  <si>
    <t>Esta está compuesta de las siguientes partidas:</t>
  </si>
  <si>
    <t>Mejoras en Propiedades del Estado</t>
  </si>
  <si>
    <t>Amortización Acumulada</t>
  </si>
  <si>
    <t xml:space="preserve">para operar Sistemas Implementados en La Onapi, así como las compra de dichos </t>
  </si>
  <si>
    <t>Sistemas y su Implementación.</t>
  </si>
  <si>
    <t>Telefonos, Fax y Cable</t>
  </si>
  <si>
    <t>Licencias de Programas</t>
  </si>
  <si>
    <t>Sistema Great Plains</t>
  </si>
  <si>
    <t>Sistema Iso 9001-2000</t>
  </si>
  <si>
    <t>Sistema Atención Servicios al Cliente</t>
  </si>
  <si>
    <t>Sistema de Seguridad</t>
  </si>
  <si>
    <t>Sistema de Gestion de Contenido de Imagen</t>
  </si>
  <si>
    <t>Sistema de Consultoria Traslado Aplicación</t>
  </si>
  <si>
    <t>Sistema Filling Cabinet IS-PKM</t>
  </si>
  <si>
    <t>Politicas Normas Y Procedimientos</t>
  </si>
  <si>
    <t>Documentos por Pagar</t>
  </si>
  <si>
    <t xml:space="preserve">Este balance corresponde al compromiso contraido por La Onapi , mediante Contrato de Compra de un </t>
  </si>
  <si>
    <t>Edificará la Oficina de la región Norte, la cual opera en las Oficinas Gubernamentales de dicha Ciudad.</t>
  </si>
  <si>
    <t>Este Balance se Compone de las Siguientes Partidas:</t>
  </si>
  <si>
    <t>Certificación por Pagar Arq. Janet Martinez</t>
  </si>
  <si>
    <t>Certificación por Pagar Ing. David Vargas</t>
  </si>
  <si>
    <t>Certificación por Pagar Arq. Juana Lasose</t>
  </si>
  <si>
    <t>Cuentas por Pagar a Terceros</t>
  </si>
  <si>
    <t>Proveedores Internacionales</t>
  </si>
  <si>
    <t>Ayuda y/o Aporte Económico</t>
  </si>
  <si>
    <t>Sueldos Por Pagar Funcionarios y Empleados</t>
  </si>
  <si>
    <t>Notas de Creditos Clientes</t>
  </si>
  <si>
    <t>Nota:13</t>
  </si>
  <si>
    <t>Acumulaciones y Retenciones Por Pagar</t>
  </si>
  <si>
    <t>Este Balance se distribuye de la forma siguiente:</t>
  </si>
  <si>
    <t>Retenciones Impuesto sobre la Renta a Empleados</t>
  </si>
  <si>
    <t>Retenciones Ley 147- 3%/253-12 5%</t>
  </si>
  <si>
    <t>Retenciones Ley 557- 10%</t>
  </si>
  <si>
    <t>ITBIS</t>
  </si>
  <si>
    <t>Otros Impuestos a Pagar</t>
  </si>
  <si>
    <t>Inavi</t>
  </si>
  <si>
    <t>Programas</t>
  </si>
  <si>
    <t>Retenciones ITBIS 16%</t>
  </si>
  <si>
    <t>***</t>
  </si>
  <si>
    <t>Codia</t>
  </si>
  <si>
    <t>Aportes AFP</t>
  </si>
  <si>
    <t>Retenciones Por Pagar-Electrodomésticos</t>
  </si>
  <si>
    <t>Coop-Onapi</t>
  </si>
  <si>
    <t>COOPROGAL</t>
  </si>
  <si>
    <t>Seguro Médico</t>
  </si>
  <si>
    <t>Crédito Educativo</t>
  </si>
  <si>
    <t>Préstamos Funcionarios y Empleados</t>
  </si>
  <si>
    <t>*Incluye la suma de RD$3,129,432.41 ,correspondiente a pagos retenidos de Retenciones del años anteriores.</t>
  </si>
  <si>
    <t>RD$1,886,076.30 del año 2012.</t>
  </si>
  <si>
    <t>** El Monto correspondiente a los RD$3,682,180.45 corresponde Años anteriores,RD$601,380.80 año actual</t>
  </si>
  <si>
    <t>***El monto de RD$1,477,581.31 corresponde a montos retenidos a Suplidores correspondiente a ITBIS.</t>
  </si>
  <si>
    <t>Nota:15</t>
  </si>
  <si>
    <t>El Déficiti del año 2011, los Ingresos aumentaros por un valor de RD$32,986,817.71,representando  este monto,</t>
  </si>
  <si>
    <t>un aumento de un 17% en relación al año 2010.El 17% anterior  en detalle se debe a un aumento de un  8% en los</t>
  </si>
  <si>
    <t>Ingresos Corrientes,y un aumento de un 173% en los Ingresos recibidos de Otras Instituciones Públicas.</t>
  </si>
  <si>
    <t>Los Gastos en comparación al año 2010 reflejaron un  aumento de  RD$30,278,289.12,representando un aumento de 15%</t>
  </si>
  <si>
    <t>El Déficit del 2011 corresponde a un aumento de RD$14,908,418.45 en la partida de Sueldo(un 19% en relación al 2010),</t>
  </si>
  <si>
    <t xml:space="preserve">este aumento de sueldos provocó un aumento de 41% en las Contribuciones de Seguridad Social.Se suman en el incremento </t>
  </si>
  <si>
    <t>individuales de las partidas de gastos un aumento de un 81% en la Bonificaiones debido a la implantación del Bono de Navidad,</t>
  </si>
  <si>
    <t>aumento de un 30% electricidad,un aumento de 46% en medios de prensa,un aumento considerable en el Mantenimiento de Edificaciones,</t>
  </si>
  <si>
    <t>y productos de Papel Cartón.Todos estos aumentos de la partidas de Gastos suman en valores monetarios  RD$34,627,465.83.</t>
  </si>
  <si>
    <t>Nota:16</t>
  </si>
  <si>
    <t>Transferencias de Instituciones Públicas</t>
  </si>
  <si>
    <t>Esta  cuenta se usa para  representar las  partidas  entregadas por la Secretaría de Industría  y  Comercio</t>
  </si>
  <si>
    <t>(SEIC) a Onapi; así como los desembolsos hechos  por ONAPI a la SEIC, para de esa   forma hacer una</t>
  </si>
  <si>
    <t>evaluación de fondos  transferidos de  una Institución  a   otra. Y la misma se representa así:</t>
  </si>
  <si>
    <t>Período 2011</t>
  </si>
  <si>
    <t>Período 2010</t>
  </si>
  <si>
    <t>Período 2009</t>
  </si>
  <si>
    <t>Período 2008</t>
  </si>
  <si>
    <t>Período 2007</t>
  </si>
  <si>
    <t>Período 2006</t>
  </si>
  <si>
    <t>Período 2005</t>
  </si>
  <si>
    <t>Período 2004</t>
  </si>
  <si>
    <t>El comportamiento para el período 2011 fué el siguiente:</t>
  </si>
  <si>
    <t>Mes</t>
  </si>
  <si>
    <t xml:space="preserve">Transferidos por </t>
  </si>
  <si>
    <t>Dif /Transferida</t>
  </si>
  <si>
    <t xml:space="preserve">                 SEIC</t>
  </si>
  <si>
    <t xml:space="preserve">                 ONAPI</t>
  </si>
  <si>
    <t xml:space="preserve">                 por SEIC</t>
  </si>
  <si>
    <t>Enero</t>
  </si>
  <si>
    <t>Febrero</t>
  </si>
  <si>
    <t>Marzo</t>
  </si>
  <si>
    <t>Abril</t>
  </si>
  <si>
    <t>Mayo</t>
  </si>
  <si>
    <t>Junio</t>
  </si>
  <si>
    <t>Julio</t>
  </si>
  <si>
    <t>Agosto</t>
  </si>
  <si>
    <t>Septiembre</t>
  </si>
  <si>
    <t>Octubre</t>
  </si>
  <si>
    <t>Noviembre</t>
  </si>
  <si>
    <t>Diciembre</t>
  </si>
  <si>
    <t xml:space="preserve">         Al 31 de Diciembre 2013</t>
  </si>
  <si>
    <t>Cheques por Verificar</t>
  </si>
  <si>
    <t>Inventarios</t>
  </si>
  <si>
    <t>Inventario de Oficina</t>
  </si>
  <si>
    <t>Inventario de Toners</t>
  </si>
  <si>
    <t>Inventario Material de Limpieza</t>
  </si>
  <si>
    <t>Inventario de Alimentos y Bebidas para Humanos</t>
  </si>
  <si>
    <t>Inventario de Cocina</t>
  </si>
  <si>
    <t>Inventario Material Desechables</t>
  </si>
  <si>
    <t>Inventario Material Ferretero</t>
  </si>
  <si>
    <t>Inventario Misceláneo</t>
  </si>
  <si>
    <t>Total Inventarios de Almacén</t>
  </si>
  <si>
    <t>Otros Equipos de Cómputo</t>
  </si>
  <si>
    <t>Inversores O-San Francisco de Macoris</t>
  </si>
  <si>
    <t>Oficina Principal:</t>
  </si>
  <si>
    <t>Oficina Regional Este:</t>
  </si>
  <si>
    <t>Oficina Regional Norte:</t>
  </si>
  <si>
    <t>Oficina Regional San Francisco de Macoris:</t>
  </si>
  <si>
    <t>Otros Equipos de Cómputo Onapi Oriental</t>
  </si>
  <si>
    <t>Inversores Onapi San Francisco de Macoris</t>
  </si>
  <si>
    <t>Depósitos Afiliaciones Cardnet</t>
  </si>
  <si>
    <t>Depósitos Por Liquidar</t>
  </si>
  <si>
    <t>Tarjeta Shell Card</t>
  </si>
  <si>
    <t>Otras Cuentas Por Pagar</t>
  </si>
  <si>
    <t>Cuentas Por Pagar Clientes</t>
  </si>
  <si>
    <t>Retenciones 2%</t>
  </si>
  <si>
    <t>Retenciones ITBIS 18%</t>
  </si>
  <si>
    <t>Retenciones Ley 253-12  10%</t>
  </si>
  <si>
    <t>Fondo Menudo Regional Norte</t>
  </si>
  <si>
    <t>Reclamaciones Por Cobrar</t>
  </si>
  <si>
    <t>Cuentas Por Cobrar Proveedores</t>
  </si>
  <si>
    <t>Seguro de Averias de Maquinarias</t>
  </si>
  <si>
    <t>Abanicos S.F.M.</t>
  </si>
  <si>
    <t>Total Depreciación Muebles de Oficina  Regional Este</t>
  </si>
  <si>
    <t>Otros Mobiliarios y Equipos Onapi Santiago</t>
  </si>
  <si>
    <t>EQUIPO DE COMPUTOS S.F.M.-DEPRECIACION ACUMULADA</t>
  </si>
  <si>
    <t>Servicios Personales</t>
  </si>
  <si>
    <t>Sueldos Fijos</t>
  </si>
  <si>
    <t>Asesoría por Contrato</t>
  </si>
  <si>
    <t>Sueldos Personal Nóminal</t>
  </si>
  <si>
    <t>Suplencias</t>
  </si>
  <si>
    <t>Primas Por Antigüedad</t>
  </si>
  <si>
    <t>Compensación por gastos de Alimentacón</t>
  </si>
  <si>
    <t>Compensación Por Gastos Educativos</t>
  </si>
  <si>
    <t>Compensación por horas Extraordinarias</t>
  </si>
  <si>
    <t>Primas de Transporte</t>
  </si>
  <si>
    <t>Compensación por Servicios Prestados</t>
  </si>
  <si>
    <t>Compensación por Servicios de Seguridad</t>
  </si>
  <si>
    <t>Compensación Por Resultados</t>
  </si>
  <si>
    <t>Honorarios por Servicios Especiales</t>
  </si>
  <si>
    <t>Dietas en el Pais</t>
  </si>
  <si>
    <t>Gastos de Representación</t>
  </si>
  <si>
    <t>Regalia Pascual</t>
  </si>
  <si>
    <t>Bonificaciones</t>
  </si>
  <si>
    <t>Prestaciones Laborales</t>
  </si>
  <si>
    <t>Vacaciones</t>
  </si>
  <si>
    <t>Contribuciones al Seguro De Pensiones</t>
  </si>
  <si>
    <t>Riesgos Laborales</t>
  </si>
  <si>
    <t>Otras Bonificaciones y Gratificaciones</t>
  </si>
  <si>
    <t>Otros Servicios Personales</t>
  </si>
  <si>
    <t>Varios</t>
  </si>
  <si>
    <t>TOTAL</t>
  </si>
  <si>
    <t>Servicios no Personales</t>
  </si>
  <si>
    <t>Servicios Telefónicos a Larga Distancia</t>
  </si>
  <si>
    <t>Radio Comunicaciones</t>
  </si>
  <si>
    <t>Telefonos Onapi Central</t>
  </si>
  <si>
    <t>Telefonos Onapi Oriental</t>
  </si>
  <si>
    <t>Correos y Telegramas</t>
  </si>
  <si>
    <t>Servicios de Internet y Televisión por Cable</t>
  </si>
  <si>
    <t>Electricidad</t>
  </si>
  <si>
    <t>Agua y Basura</t>
  </si>
  <si>
    <t>Lavandería ,Limpieza e Higiene</t>
  </si>
  <si>
    <t>Fumigación</t>
  </si>
  <si>
    <t>Lavado de Cisternas</t>
  </si>
  <si>
    <t>Renta Mantenimiento Local</t>
  </si>
  <si>
    <t>Limpieza Pisos Y Alfombras</t>
  </si>
  <si>
    <t>Publicaciones Ley 20-00</t>
  </si>
  <si>
    <t>Avisos en Medios de Prensa</t>
  </si>
  <si>
    <t>Impresiones y Encuadernaciones</t>
  </si>
  <si>
    <t>Pasajes</t>
  </si>
  <si>
    <t>Fletes</t>
  </si>
  <si>
    <t>Peajes</t>
  </si>
  <si>
    <t>Alquiler Edificios y Locales</t>
  </si>
  <si>
    <t>Alquiler Equipos de Producción</t>
  </si>
  <si>
    <t>Alquilers Equipos de Servicios</t>
  </si>
  <si>
    <t>Alquiler Equipo de Transporte</t>
  </si>
  <si>
    <t>Alquiler Bienes y Servicios</t>
  </si>
  <si>
    <t>Otros Alquileres</t>
  </si>
  <si>
    <t>Seguro Bienes Inmuebles</t>
  </si>
  <si>
    <t>Seguros Edificios y Locales</t>
  </si>
  <si>
    <t>Seguro Vehiculos</t>
  </si>
  <si>
    <t>Seguro Personas</t>
  </si>
  <si>
    <t>Seguro Averias Maquinarias</t>
  </si>
  <si>
    <t>Seguros de Riesgos Equipos Electrónicos</t>
  </si>
  <si>
    <t>Seguros de Responsabilidad Civil Extracontractual</t>
  </si>
  <si>
    <t>Mantenimiento Edificios</t>
  </si>
  <si>
    <t>Mantenimiento Instalaciones</t>
  </si>
  <si>
    <t>Mant. Maquinarias y Equipos</t>
  </si>
  <si>
    <t>Letreros</t>
  </si>
  <si>
    <t>Obras Menores</t>
  </si>
  <si>
    <t>Auditorias y Estudios</t>
  </si>
  <si>
    <t>Gastos Judiciales</t>
  </si>
  <si>
    <t>Matriculas de Vehiculos/Derechos de Placas</t>
  </si>
  <si>
    <t>Servicios Funerarios</t>
  </si>
  <si>
    <t>Capacitación a la Oficina</t>
  </si>
  <si>
    <t>Otras Retenciones</t>
  </si>
  <si>
    <t>Servicios Especiales</t>
  </si>
  <si>
    <t>Servicios Prof. a personas</t>
  </si>
  <si>
    <t>Servicios Prof. a la Oficina</t>
  </si>
  <si>
    <t>Cargos Bancarios Cta. 010-241433-5</t>
  </si>
  <si>
    <t>Cargos Bancarios Cta. 010-250249-8</t>
  </si>
  <si>
    <t>Cargos Bancarios Cta. 010-249554-8 Nominas</t>
  </si>
  <si>
    <t>Cargos Bancarios Transferencias US$</t>
  </si>
  <si>
    <t>Diferencias Cambiarias</t>
  </si>
  <si>
    <t>Gastos Por Liquidar</t>
  </si>
  <si>
    <t>Cargos Bancarios cta. Ahorros por transferencia</t>
  </si>
  <si>
    <t>Otros Servicios no Personales</t>
  </si>
  <si>
    <t>Alimentos para Humanos</t>
  </si>
  <si>
    <t>Alimentos para Animales</t>
  </si>
  <si>
    <t>Bebidas Alcoholicas</t>
  </si>
  <si>
    <t>Productos Agroforestales</t>
  </si>
  <si>
    <t>Carbón Mineral</t>
  </si>
  <si>
    <t>Minerales Metálicos</t>
  </si>
  <si>
    <t>Otros Minerales Metálicos</t>
  </si>
  <si>
    <t>Otros Alimentos y Productos Agroforestales</t>
  </si>
  <si>
    <t>Hilados y Telas</t>
  </si>
  <si>
    <t>Acabados Textiles</t>
  </si>
  <si>
    <t>Prendas de Vestir</t>
  </si>
  <si>
    <t>Otros Textiles y Vestuarios</t>
  </si>
  <si>
    <t>Papel de Escritorio</t>
  </si>
  <si>
    <t>Productos de Papel y Carton</t>
  </si>
  <si>
    <t>Productos de Artes Graficas</t>
  </si>
  <si>
    <t>Libros, Revistas y Periodicos</t>
  </si>
  <si>
    <t>Especies Timbradas y Valoradas</t>
  </si>
  <si>
    <t>Otros Productos de Papel y Carton</t>
  </si>
  <si>
    <t>Cueros y Pieles</t>
  </si>
  <si>
    <t>Otros Productos de Cuero y Caucho</t>
  </si>
  <si>
    <t>Sustancias Quimicas</t>
  </si>
  <si>
    <t>Combustibles, Lubricantes y Otros Derivados</t>
  </si>
  <si>
    <t>Abonos y Fertilizantes</t>
  </si>
  <si>
    <t>Insecticidas, Fumigantes y Otros</t>
  </si>
  <si>
    <t>Productos Medicinales y Farmaceuticos</t>
  </si>
  <si>
    <t>Pinturas, Tintes y Colorantes</t>
  </si>
  <si>
    <t>Otros Productos Quimicos</t>
  </si>
  <si>
    <t>Productos de Arcillas,Piedras y Arena</t>
  </si>
  <si>
    <t>Productos de Vidrio</t>
  </si>
  <si>
    <t>Productos de Loza y Porcelana</t>
  </si>
  <si>
    <t>Productos de Cemento y Asbestos</t>
  </si>
  <si>
    <t>Otros Productos de Minerales no Metalicos</t>
  </si>
  <si>
    <t>Herramientas y Repuestos Menores</t>
  </si>
  <si>
    <t>Otros Productos Metalicos</t>
  </si>
  <si>
    <t>Utiles de Limpieza</t>
  </si>
  <si>
    <t>Utiles de Escritorios. Oficina y Enseñanza</t>
  </si>
  <si>
    <t>Utiles Menores Metálicos -Quirurgicos</t>
  </si>
  <si>
    <t>Utiles de Deportes y Recreativos</t>
  </si>
  <si>
    <t>Utiles de Cocina y Comedor</t>
  </si>
  <si>
    <t>Materiales Ferreteros</t>
  </si>
  <si>
    <t>Otros Productos Varios y Utiles Diversos</t>
  </si>
  <si>
    <t>Conservaciones Rep. Menores y Const. Temporales</t>
  </si>
  <si>
    <t>Reparaciones Extraordinarias  de Maquinarias</t>
  </si>
  <si>
    <t>Maquinarias y Equipos de Producción</t>
  </si>
  <si>
    <t>Equipos Educativos y de Adiestramiento</t>
  </si>
  <si>
    <t>Equipos de Transporte, Tracción</t>
  </si>
  <si>
    <t>Equipos y Muebles de Oficina Onapi Central</t>
  </si>
  <si>
    <t>Equipos y Muebles de Oficina Onapi Este</t>
  </si>
  <si>
    <t>Equipos y Muebles de Oficina Norte</t>
  </si>
  <si>
    <t>Equipos de Computos Onapi Central</t>
  </si>
  <si>
    <t>Onapi Oriental</t>
  </si>
  <si>
    <t>Equipos de Computos Onapi Norte</t>
  </si>
  <si>
    <t>Edificaciones</t>
  </si>
  <si>
    <t>Edificios para Hospitales</t>
  </si>
  <si>
    <t>Transferencias Corrientes al Sector Privado</t>
  </si>
  <si>
    <t>Ayudas y Donaciones a Personas</t>
  </si>
  <si>
    <t>Transferencias a Instituciones s/fines de Lucro</t>
  </si>
  <si>
    <t>A Otras Instituciones Públicas</t>
  </si>
  <si>
    <t>A Instituciones Privadas sin Fines de Lucro</t>
  </si>
  <si>
    <t>Transferencias Corrientes al Sector Publico</t>
  </si>
  <si>
    <t>Transferencias a  la Administración Central</t>
  </si>
  <si>
    <t>Transferencias a Otras Instituciones Publicas</t>
  </si>
  <si>
    <t>Transferencias a Organismos Internacionales</t>
  </si>
  <si>
    <t>Cuota Internacional</t>
  </si>
  <si>
    <t>A Organismos Internacionales</t>
  </si>
  <si>
    <t>Transferencia Banco Suiza para Gastos</t>
  </si>
  <si>
    <t>Intereses Deuda Interna</t>
  </si>
  <si>
    <t>Recargos de la Deuda Interna</t>
  </si>
  <si>
    <t>Otros Gastos Deudas Públicas</t>
  </si>
  <si>
    <t>Muebles y Enseres O-Central</t>
  </si>
  <si>
    <t>Maquinas y Fax O-central</t>
  </si>
  <si>
    <t>Aires Acondicionados O-Central</t>
  </si>
  <si>
    <t>Maquinas Sumadoras O-Central</t>
  </si>
  <si>
    <t>Equipo Educacional y Recreación</t>
  </si>
  <si>
    <t>Otros Mob y Equipos de Oficina O-Central</t>
  </si>
  <si>
    <t>Muebles y Enseres O-Este</t>
  </si>
  <si>
    <t>Maquinas y Fax O-Este</t>
  </si>
  <si>
    <t>Maquinas sumadoras O-Este</t>
  </si>
  <si>
    <t>Otros Mob y Equipos de Oficina O-Este</t>
  </si>
  <si>
    <t>Muebles y Enseres O-Norte</t>
  </si>
  <si>
    <t>Fotocopiadoras O-Norte</t>
  </si>
  <si>
    <t>Otros Mob y Equipos de Oficina O-Norte</t>
  </si>
  <si>
    <t>Muebles y Enseres S.F.M.</t>
  </si>
  <si>
    <t>Máquinas Sumadoras</t>
  </si>
  <si>
    <t>Otros Mob y Equipos de Oficina ONAPI-S.F.M.</t>
  </si>
  <si>
    <t>Jeepetas y Minibus</t>
  </si>
  <si>
    <t>Impresoras O-Central</t>
  </si>
  <si>
    <t>Scaner O-Central</t>
  </si>
  <si>
    <t>Monitores O-Central</t>
  </si>
  <si>
    <t>Otros Equipos de Computos O-Central</t>
  </si>
  <si>
    <t>Impresoras O-Este</t>
  </si>
  <si>
    <t>Monitores O-Este</t>
  </si>
  <si>
    <t>Otros Gastos de Depreciacion Equipos de Computos</t>
  </si>
  <si>
    <t>Servidoes CPU O-Norte</t>
  </si>
  <si>
    <t>Impresoras O-Norte</t>
  </si>
  <si>
    <t>Scaner O-Norte</t>
  </si>
  <si>
    <t>Monitores O-Norte</t>
  </si>
  <si>
    <t>Otros Equipos de Computos O-Norte</t>
  </si>
  <si>
    <t>Servidoes CPU -S.F.M.</t>
  </si>
  <si>
    <t>Impresoras-S.F.M.</t>
  </si>
  <si>
    <t>Otros Gastos de Depreciacion Equipos</t>
  </si>
  <si>
    <t>Equipos de Comunicación Santiago</t>
  </si>
  <si>
    <t>Equipos de Comunicación Este</t>
  </si>
  <si>
    <t>Equipos de Comunicación S.F.M.</t>
  </si>
  <si>
    <t>Microondas S.F.M.</t>
  </si>
  <si>
    <t>Estufa-Este</t>
  </si>
  <si>
    <t>Planta Electrica</t>
  </si>
  <si>
    <t>Inversores S.F.M.</t>
  </si>
  <si>
    <t>Activos Excluidos O-Central</t>
  </si>
  <si>
    <t>Activos Excluidos O-Norte</t>
  </si>
  <si>
    <t>Activos Excluidos O-Este</t>
  </si>
  <si>
    <t>Amortizacion Activos Diferidos</t>
  </si>
  <si>
    <t>Amortizacion  Otros Activos Diferidos</t>
  </si>
  <si>
    <t>Amortizacion Programas de Computos</t>
  </si>
  <si>
    <t>Sistema de Digitalización</t>
  </si>
  <si>
    <t>Sistema Tratamiento de Agua</t>
  </si>
  <si>
    <t>Total General</t>
  </si>
  <si>
    <t>Muebles y Enseres -Bani</t>
  </si>
  <si>
    <t>Aires Acondicionados-Bani</t>
  </si>
  <si>
    <t>Impresoras-Modulo Bani</t>
  </si>
  <si>
    <t xml:space="preserve">         Al 31 de Diciembre 2015</t>
  </si>
  <si>
    <t>Cuenta No.100010102391041 Sub-Cuenta USD No.9995003000</t>
  </si>
  <si>
    <t>USD</t>
  </si>
  <si>
    <t>EUR</t>
  </si>
  <si>
    <t>Retenciones Ley 253-12  5%</t>
  </si>
  <si>
    <t>Neveras Onapi-Central</t>
  </si>
  <si>
    <t>Microondas-Onapi Central</t>
  </si>
  <si>
    <t>Neveras Onapi-Este</t>
  </si>
  <si>
    <t>Microondas-Onapi Este</t>
  </si>
  <si>
    <t>Neveras Onapi-Norte</t>
  </si>
  <si>
    <t>Microondas Onapi-Norte</t>
  </si>
  <si>
    <t>Microondas Onapi-San Francisco de Macoris</t>
  </si>
  <si>
    <t>Nevera Onapi-San Francisco de Macoris</t>
  </si>
  <si>
    <t>Microondas S.C.</t>
  </si>
  <si>
    <t>Lavadoras,Estufas,Equipos de Cocina</t>
  </si>
  <si>
    <t>Microondas Onapi Este</t>
  </si>
  <si>
    <t>Microondas</t>
  </si>
  <si>
    <t xml:space="preserve">Neveras </t>
  </si>
  <si>
    <t xml:space="preserve">Microondas </t>
  </si>
  <si>
    <t>Compensación de Horas Extras Por Pagar</t>
  </si>
  <si>
    <t>Bonificaciones e Incentivos por Resultados Por Pagar</t>
  </si>
  <si>
    <t>Pasantias Por Pagar</t>
  </si>
  <si>
    <t xml:space="preserve">En la actualidad nuestra Consultoria Juridica esta a la espera de reunirse con los abogados de la Superintendencia a los fines de </t>
  </si>
  <si>
    <t>Cuentas Por Pagar  Proveedores</t>
  </si>
  <si>
    <t>Valores en RD$</t>
  </si>
  <si>
    <t>Bancos:</t>
  </si>
  <si>
    <t>Fondo Menudo Recaudadores</t>
  </si>
  <si>
    <t>Edificación Oficina Este</t>
  </si>
  <si>
    <t>Edificaciones-Onapi Regional Este</t>
  </si>
  <si>
    <t>Máquinas y Faxes</t>
  </si>
  <si>
    <t>Máquinas y Fax</t>
  </si>
  <si>
    <t xml:space="preserve">Otros Mobiliarios y Equipos Onapi </t>
  </si>
  <si>
    <t>Viáticos Por Pagar</t>
  </si>
  <si>
    <t>Compensación por Gastos Educativos</t>
  </si>
  <si>
    <t>Honorarios Profesionales y Técnicos</t>
  </si>
  <si>
    <t>Viáticos Fuera del País</t>
  </si>
  <si>
    <t>Otros Gastos Por Indemnizaciones y Compensaciones</t>
  </si>
  <si>
    <t>Comisión 2.5 % Visanet</t>
  </si>
  <si>
    <t>Gastos Por Descuento de Pérdidas Cardnet</t>
  </si>
  <si>
    <t>Neumáticos y Cámara de Aire</t>
  </si>
  <si>
    <t>Productos de Plásticos y de Nylon</t>
  </si>
  <si>
    <t>Cemento , Cal y Yeso</t>
  </si>
  <si>
    <t>Productos Siderúrgicos Férricos</t>
  </si>
  <si>
    <t>Productos Siderúrgicos  No Férricos</t>
  </si>
  <si>
    <t>Productos Eléctricos y  Afines</t>
  </si>
  <si>
    <t>Bonos</t>
  </si>
  <si>
    <t>Aires Acondicionados O-Este</t>
  </si>
  <si>
    <t>Maquinas Sumadoras O-Norte</t>
  </si>
  <si>
    <t>Otros Ingresos</t>
  </si>
  <si>
    <t>Seguros de Viajes al Exterior</t>
  </si>
  <si>
    <t>Servicios Técnicos Profesionales Prestados</t>
  </si>
  <si>
    <t>Capacitación a Personas</t>
  </si>
  <si>
    <t>Fotocopiadoras O-Central</t>
  </si>
  <si>
    <t>Aires Acondicionados O-Norte</t>
  </si>
  <si>
    <t xml:space="preserve">        Valores en RD$</t>
  </si>
  <si>
    <t>Otros Ingresos Varios</t>
  </si>
  <si>
    <t>Excedentes en Recaudaciones</t>
  </si>
  <si>
    <t>Apertura Caja Chica S.F.M.-OP</t>
  </si>
  <si>
    <t>Descuentos Cardnet y Notas de Crédito Clientes</t>
  </si>
  <si>
    <t>Ingresos Brutos</t>
  </si>
  <si>
    <t>Nota: Incluye la Web</t>
  </si>
  <si>
    <t>Oficina Norte</t>
  </si>
  <si>
    <t>Descuentos Notas de Crédito Clientes</t>
  </si>
  <si>
    <t>Sub-Total Neto Oficina Norte</t>
  </si>
  <si>
    <t>Oficina Este</t>
  </si>
  <si>
    <t>Oficina San Francisco de Macoris</t>
  </si>
  <si>
    <t>Sub-Total Neto Oficina San Francisco de Macoris</t>
  </si>
  <si>
    <t xml:space="preserve">                                                                                                   Oficina Nacional de la Propiedad Industrial (ONAPI )</t>
  </si>
  <si>
    <t>Sistema Telefónico</t>
  </si>
  <si>
    <t>Cuentas Por Pagar  enviadas para Pagos</t>
  </si>
  <si>
    <t>Cuentas Compensación Compras-Recepciones Inv. En Tránsito</t>
  </si>
  <si>
    <t>Cuentas por Pagar Proveedores  Loc.  Y Terceros</t>
  </si>
  <si>
    <t>Cuenta No.100010102391041 Sub-Cta. USD No.9995003001</t>
  </si>
  <si>
    <t>Cuenta No.100010102391041 Sub-Cta. USD No.9995003000</t>
  </si>
  <si>
    <t>Cuenta No.100010102391041 Sub-Cta. USD No.0100022000</t>
  </si>
  <si>
    <t>Cuenta No.100010102391041 Sub-Cta. USD No.0100022001</t>
  </si>
  <si>
    <t>Cuenta No.200030100001418 Sub-Cta. EUR No.9995002000</t>
  </si>
  <si>
    <t>Cuenta No.200030100001418 Sub-Cta. EUR No.9995002001</t>
  </si>
  <si>
    <t>Cuenta No.010-2384894 Sub-Cta. No.995008000 BR</t>
  </si>
  <si>
    <t>Cuenta No.010-2384894 Sub-Cta. No.100110000 BR</t>
  </si>
  <si>
    <t>Cuenta No.010-2384894 Sub-Cta. No.100110001 BR</t>
  </si>
  <si>
    <t>Cuenta No.010-2384894 Sub-Cta. No.995008001 BR</t>
  </si>
  <si>
    <t xml:space="preserve">Terreno  por valor de  origen de RD$12,500,000.00 en la Ciudad de Santiago, a Través de La Superintendencia de Seguros, donde se </t>
  </si>
  <si>
    <t>finiquitar entrega de Titulos y asi proceder al pago de la suma pendiente de RD$2,600,000.00.</t>
  </si>
  <si>
    <t>En el año 2017 se adiciona al terreno el monto de RD$79,325.97 para construcción de Pared en el Terreno aumentando el</t>
  </si>
  <si>
    <t>costo al 31 de Diciembre del 2017 a RD$12,579,325.97</t>
  </si>
  <si>
    <t>Nota:  7</t>
  </si>
  <si>
    <t>Nota: 10</t>
  </si>
  <si>
    <t>Nota:  12</t>
  </si>
  <si>
    <t>De la Cuenta de Retenciones de Ley 5%, corresponden a retenciones RD$487,148.64 corresponden a años anteriores y RD$12,601.98 del año 2017.</t>
  </si>
  <si>
    <t>De la Cuenta de Retenciones de Ley 10%, corresponden a retenciones RD$102,198.08 corresponden a años anteriores y RD$28,409.76 del año 2017.</t>
  </si>
  <si>
    <t>De la Cuenta de Retenciones de Ley 2%, corresponde al año 2016.</t>
  </si>
  <si>
    <t>De la Cuenta Viáticos por Pagar corresponde a Viáticos por Pagar a Colaboradores y este monto de RD$28,250.00 corresponden al mes de Diciembre del 2017.</t>
  </si>
  <si>
    <t>De la Cuenta Retención de ITBIS corresponde al cumplimiento  de la Ley 11-92 y sus Normas de  las Retenciones de ITBIS el monto de RD$394,554.89  corresponde al año 2017.</t>
  </si>
  <si>
    <t>De la Cuenta Codia  corresponde al cumplimiento  de la Ley 11-92 Art. 287 literal M y en Cumplimiento a Decrero 319-98, retención Proy. Ingenieria a la espera de Fact. Proveedor.</t>
  </si>
  <si>
    <t>De la Cuenta Notas de Crédito  el monto de RD$83,549.00 corresponden a Notas de Créditos a favor de los Clientes dicho monto corresponde al 2017.</t>
  </si>
  <si>
    <t xml:space="preserve">TOTAL </t>
  </si>
  <si>
    <t>Reposición Caja Chica Cierre Fiscal</t>
  </si>
  <si>
    <t>Sueldo Personal Probatorio</t>
  </si>
  <si>
    <t>Viáticos Dentro del País</t>
  </si>
  <si>
    <t>Imp., Derechos, Tasas,Penalidades y Multas</t>
  </si>
  <si>
    <t>Cargos Bancarios .Cta. Anticipos Financieros</t>
  </si>
  <si>
    <t xml:space="preserve">Comisión Cardnet 2.5% </t>
  </si>
  <si>
    <t>Comisión American Express 2.5%</t>
  </si>
  <si>
    <t>Materiales y Sum. Relacionados con Computos</t>
  </si>
  <si>
    <t>Scaner O-Este</t>
  </si>
  <si>
    <t>Scanner -S.F.M.</t>
  </si>
  <si>
    <t>Amortización Base de Datos</t>
  </si>
  <si>
    <t>Amortización Equipo de Seguridad Rider Lock</t>
  </si>
  <si>
    <t>Otros Gastos de Depreciacion Equipos-S.FM.</t>
  </si>
  <si>
    <t>USD/EUR</t>
  </si>
  <si>
    <t>US$   13,726.46</t>
  </si>
  <si>
    <t>EUR     5,000.00</t>
  </si>
  <si>
    <t>US$      23,281.81</t>
  </si>
  <si>
    <t>Bonificaciones e Incentivos Por Pagar</t>
  </si>
  <si>
    <t>Nota:  8</t>
  </si>
  <si>
    <t>Nota:  9</t>
  </si>
  <si>
    <t>Nota:  11</t>
  </si>
  <si>
    <t>Nota: 11</t>
  </si>
  <si>
    <t>Nota: 13</t>
  </si>
  <si>
    <t>NOTA 21:</t>
  </si>
  <si>
    <t>NOTA 23:</t>
  </si>
  <si>
    <t>NOTA 24:</t>
  </si>
  <si>
    <t>OK</t>
  </si>
  <si>
    <t>Programa de Computo y Base de Datos</t>
  </si>
  <si>
    <t>Personal Carácter Eventual</t>
  </si>
  <si>
    <t>Contribuciones a la Seguro Familiar de  Salud</t>
  </si>
  <si>
    <t>Servicios Sanitarios Médicos y Veterinarios</t>
  </si>
  <si>
    <t>Servicios de Alimentación</t>
  </si>
  <si>
    <t>Servidores CPU O-Central</t>
  </si>
  <si>
    <t>Servidores CPU O-Este</t>
  </si>
  <si>
    <t>Excedentes en Recaudaciones/Faltante-Neto</t>
  </si>
  <si>
    <t xml:space="preserve"> </t>
  </si>
  <si>
    <t>Pérdidas de Cardnet</t>
  </si>
  <si>
    <t>Fondo Menudo Regional Este</t>
  </si>
  <si>
    <t>Fondo Caja Chica CATI-Puerto Plata</t>
  </si>
  <si>
    <t>EUR     1,996.50</t>
  </si>
  <si>
    <t>EUR     3,003.50</t>
  </si>
  <si>
    <t>US$   54,105.29</t>
  </si>
  <si>
    <t>Cuentas Por Cobrar Sra. Maria Patricia Sánchez Vásquez</t>
  </si>
  <si>
    <t>EQUIPO DE COMPUTOS ORIENTAL-DEPRECIACION ACUMULADA</t>
  </si>
  <si>
    <t>Onapi  CATI-UASD</t>
  </si>
  <si>
    <t>Onapi  CATI-Puerto Plata</t>
  </si>
  <si>
    <t>CATI-UASD:</t>
  </si>
  <si>
    <t>Total Depreciación Muebles CATI-UASD</t>
  </si>
  <si>
    <t>CATI-Puerto Plata:</t>
  </si>
  <si>
    <t>EQUIPO DE COMPUTOS CATI-UASD-DEPRECIACION ACUMULADA</t>
  </si>
  <si>
    <t>Total Depreciación Equipos de Computos CATI-UASD</t>
  </si>
  <si>
    <t>Onapi-CATI-UASD</t>
  </si>
  <si>
    <t>Sistema de Gestión de Calidad ISO-TOOLS</t>
  </si>
  <si>
    <t>Amortización de Base de Datos</t>
  </si>
  <si>
    <t>TOTAL NOTA 11:  BIENES DE USO</t>
  </si>
  <si>
    <t>TOTAL NOTA 11:  EQUIPO DE TRANSPORTE</t>
  </si>
  <si>
    <t>Nota: 12</t>
  </si>
  <si>
    <t>TOTAL NOTA 12:DIFERIDOS E INTANGIBLES</t>
  </si>
  <si>
    <t>TOTAL NOTA No. 13:CUENTAS POR PAGAR</t>
  </si>
  <si>
    <t xml:space="preserve">                                                                                                                                                                         Oficina Nacional de la Propiedad Industrial (ONAPI )</t>
  </si>
  <si>
    <t xml:space="preserve">                                                                                                                                                                 Nota a los Ingresos</t>
  </si>
  <si>
    <t xml:space="preserve">       </t>
  </si>
  <si>
    <t>Del Gobierno Central</t>
  </si>
  <si>
    <t>Ingresos Propios Netos</t>
  </si>
  <si>
    <t>NOTA 18:</t>
  </si>
  <si>
    <t>NOTA 17:</t>
  </si>
  <si>
    <t xml:space="preserve">      </t>
  </si>
  <si>
    <t>NOTA 19:</t>
  </si>
  <si>
    <t>Nota: 15</t>
  </si>
  <si>
    <t>TOTAL NOTA 15:OTRAS CUENTAS POR PAGAR</t>
  </si>
  <si>
    <t>Nota:14</t>
  </si>
  <si>
    <t>TOTAL NOTA 14:ACUMULACIONES Y RETENCIONES POR PAGAR</t>
  </si>
  <si>
    <t>Fondo Caja Chica Administrativo</t>
  </si>
  <si>
    <t>Fondo Caja Chica Dirección General</t>
  </si>
  <si>
    <t>Fondo Caja Chica Oficina Regional Este</t>
  </si>
  <si>
    <t>Fondo Caja Chica Oficina Regional Norte</t>
  </si>
  <si>
    <t>Fondo Caja Chica Tesoreria</t>
  </si>
  <si>
    <t>Incentivo Por Resultados-Rendimiento Individual</t>
  </si>
  <si>
    <t>Muebles y Enseres -CATI UASD</t>
  </si>
  <si>
    <t>Muebles y Enseres -CATI -Puerto Plata</t>
  </si>
  <si>
    <t>Servidores CPU-CATI -Puerto Plata</t>
  </si>
  <si>
    <t>Otros Equipos de Computo-CATI-UASD</t>
  </si>
  <si>
    <t>Reclamaciones Ventas On Line-Ctas. Incobrables</t>
  </si>
  <si>
    <t>VALORES EN RD$</t>
  </si>
  <si>
    <t>Cuenta No.1000-01-314-000074-1-Anticipos Financieros</t>
  </si>
  <si>
    <t>Cuenta Unica de Tesoro de la ONAPI</t>
  </si>
  <si>
    <t xml:space="preserve">Y en cumpliendo con lo establecido en las Normas y el Código Tributario se  expresan en la moneda local en </t>
  </si>
  <si>
    <t>(RD$) Pesos Dominicanos las Cuentas en Monedas Extranjeras. Las mismas presentan los siguientes valores:</t>
  </si>
  <si>
    <t>Los Montos en negativo los ajustes lo realiza la Tesoreria Nacional en el año siguiente. El balance de la Sub-</t>
  </si>
  <si>
    <t>** La Reclamación  a la Ing. Dominga Acevedo corresponde a registro  contable No.32,930 de fecha 31/07/2008</t>
  </si>
  <si>
    <t>Total Edificación Oficina Regional Este</t>
  </si>
  <si>
    <t>El balance de esta cuenta representa el valor histórico de cada</t>
  </si>
  <si>
    <t>utilizado es el de Linea Recta,</t>
  </si>
  <si>
    <t>Onapi-CATI-Puerto Plata</t>
  </si>
  <si>
    <t xml:space="preserve">El balance de esta cuenta representa los valores </t>
  </si>
  <si>
    <t>Total Depreciación Equipos de Computos CATI-PUERTO PLATA</t>
  </si>
  <si>
    <t>EQUIPO DE COMPUTOS CATI-PUERTO PLATA-DEPRECIACION ACUMULADA</t>
  </si>
  <si>
    <t>Compensación Por Pagar</t>
  </si>
  <si>
    <t>Otros Activos Intangibles</t>
  </si>
  <si>
    <t>Fondo Caja Chica CATI</t>
  </si>
  <si>
    <t>Fondo Caja Chica Oficina San Francisco de Macoris</t>
  </si>
  <si>
    <t>Transferencias</t>
  </si>
  <si>
    <t>El Balance de esta cuenta al 31 de Diciembre del 2020,fué de RD$148,931,698.08</t>
  </si>
  <si>
    <t>El valor al 31-12-2019 de RD$148,931,698.06. Al 01 de Octubre del 2020 se adiciona RD$1,447,713.91 este mon-</t>
  </si>
  <si>
    <t>to es de finalización del Proyecto de Remodelación de algunas Oficinas de la O.P. en Cristal .Al 31 de Dici-</t>
  </si>
  <si>
    <t>Recaudaciones en Tránsito</t>
  </si>
  <si>
    <t>Sueldo Personal Contratado-Temporal</t>
  </si>
  <si>
    <t>Sueldo  Temporal a Personal Fijo Cargo de Carrera</t>
  </si>
  <si>
    <t>Otros Gastos Pagados Por Anticipados</t>
  </si>
  <si>
    <t>Instalaciones Temporales</t>
  </si>
  <si>
    <t>Otros Gastos Operativos</t>
  </si>
  <si>
    <t>Aires Acondicionados -S.F.M.</t>
  </si>
  <si>
    <t>Automoviles</t>
  </si>
  <si>
    <t>Ascensor Edificio Administrativo</t>
  </si>
  <si>
    <t>Otros Equipos Varios-Este</t>
  </si>
  <si>
    <t>Nota: La Onapi empezó en el 2021 a realizar los registros de la Depreciación del Sistema SIAB,en el Sistema Contables interno, basada en la Vida Util del  Catalogo de Bienes del  Estado,por lo que se realizarán los ajustes de lugar en caso de requerirlo en el Sistema Contable. Los  rubros que presentan la señalización con  (*) ,estas cuentas contables fueron creadas basadas en la segregación  del Catálogo de Bienes del Estado y realizados los ajustes de lugar.</t>
  </si>
  <si>
    <t>Oficina Principal-Web</t>
  </si>
  <si>
    <t xml:space="preserve">Nota: el  22 de Marzo del 2021 hubo un aumento de la Caja Chica de San Francisco de Macoris </t>
  </si>
  <si>
    <t>por valor de RD$10,000.00</t>
  </si>
  <si>
    <t>Ascensor Edificio Adminsitrativo</t>
  </si>
  <si>
    <t>*-Estas cuentas fueron creadas en cumplimiento al Catálogo de Bienes del Estado</t>
  </si>
  <si>
    <t>ok</t>
  </si>
  <si>
    <t>su depreciación acumulada al 2021,el método utilizado es el de Linea Recta,</t>
  </si>
  <si>
    <t>de cada Oficina al 2021</t>
  </si>
  <si>
    <t>Ascensor Area Administrativo</t>
  </si>
  <si>
    <t xml:space="preserve">embre del 2020 asciende a RD$150,379,411.97, en cumplimiento a lo que establece el Catálogo de Bienes del </t>
  </si>
  <si>
    <t>Estado se segrega el monto del Ascensor por valor de RD$1,987,733.80, rebajando este valor el Balance de la</t>
  </si>
  <si>
    <t>El balance de esta cuenta representa el monto total de las Adquisiones de Programas</t>
  </si>
  <si>
    <t>Ayudas y/o Aportes</t>
  </si>
  <si>
    <t>Prestaciones Laborales Por Pagar</t>
  </si>
  <si>
    <t>Vacaciones Por Pagar</t>
  </si>
  <si>
    <t>OFICINA NACIONAL DE LA PROPIEDAD INDUSTRIAL(ONAPI)</t>
  </si>
  <si>
    <t>Estado de Situación Financiera</t>
  </si>
  <si>
    <t>(Valores en RD$)</t>
  </si>
  <si>
    <t>Activos</t>
  </si>
  <si>
    <t>Activos corrientes</t>
  </si>
  <si>
    <t>Efectivo y equivalentes de efectivo (Nota 7)</t>
  </si>
  <si>
    <t>Inversiones a corto plazo (Nota 8)</t>
  </si>
  <si>
    <t>Porción corriente de documentos por cobrar (Nota 9)</t>
  </si>
  <si>
    <t>Cuenta por cobrar a corto plazo (Notas 08)</t>
  </si>
  <si>
    <t>Inventarios (Nota 9)</t>
  </si>
  <si>
    <t>Pagos anticipados (Nota 10)</t>
  </si>
  <si>
    <t>Otros activos corrientes (Nota 13)</t>
  </si>
  <si>
    <t>Cuentas por cobrar a largo plazo (Notas 14)</t>
  </si>
  <si>
    <t>Documentos por cobrar (Nota 15)</t>
  </si>
  <si>
    <t>Inversiones a largo plazo (Nota 16)</t>
  </si>
  <si>
    <t>Otros activos financieros (Notas 17)</t>
  </si>
  <si>
    <t xml:space="preserve">Activos intangibles (Nota 12) </t>
  </si>
  <si>
    <t xml:space="preserve">Otros activos no financieros (Nota 20) </t>
  </si>
  <si>
    <t>Total activos</t>
  </si>
  <si>
    <t>Pasivos</t>
  </si>
  <si>
    <t>Sobregiro bancario (Nota 21)</t>
  </si>
  <si>
    <t>Cuentas por pagar a corto plazo (Nota 13)</t>
  </si>
  <si>
    <t>Préstamos a corto plazo (Nota 23)</t>
  </si>
  <si>
    <t>Parte corriente de préstamos a largo plazo (Nota 24)</t>
  </si>
  <si>
    <t>Retenciones y acumulaciones por pagar (Nota 14)</t>
  </si>
  <si>
    <t>Provisiones a corto plazo (Nota 26)</t>
  </si>
  <si>
    <t>Beneficios a empleados a corto plazo (Nota 27)</t>
  </si>
  <si>
    <t>Pensiones (Nota 28)</t>
  </si>
  <si>
    <t>Otros pasivos corrientes (Nota 15)</t>
  </si>
  <si>
    <t>Capital</t>
  </si>
  <si>
    <t>Reservas</t>
  </si>
  <si>
    <t>Resultados positivos (ahorro)</t>
  </si>
  <si>
    <t xml:space="preserve">Resultados acumulados </t>
  </si>
  <si>
    <r>
      <t xml:space="preserve">          </t>
    </r>
    <r>
      <rPr>
        <b/>
        <sz val="11"/>
        <rFont val="Times New Roman"/>
        <family val="1"/>
      </rPr>
      <t>Encargado Financiero</t>
    </r>
  </si>
  <si>
    <t xml:space="preserve">Encargado Contabilidad </t>
  </si>
  <si>
    <t>Estado de Rendimiento Financiero</t>
  </si>
  <si>
    <t>Ingresos (Nota 17,18,19)</t>
  </si>
  <si>
    <t>Ingresos por transacciones con contraprestación</t>
  </si>
  <si>
    <t>Recargos, multas y otros ingresos</t>
  </si>
  <si>
    <t>Sueldos, salarios y beneficios a empleados</t>
  </si>
  <si>
    <t>Subvenciones y otros pagos por transferencias</t>
  </si>
  <si>
    <t>Suministros y materiales para consumo</t>
  </si>
  <si>
    <t>Gasto de depreciación y amortización</t>
  </si>
  <si>
    <t>Deterioro del valor de propiedad, planta y equipo</t>
  </si>
  <si>
    <t>Otros gastos</t>
  </si>
  <si>
    <t>Gastos financieros</t>
  </si>
  <si>
    <t>Ganancia (pérdida) por diferencia cambiaria</t>
  </si>
  <si>
    <t xml:space="preserve">Participación en resultado de asociadas </t>
  </si>
  <si>
    <r>
      <t xml:space="preserve">                                        </t>
    </r>
    <r>
      <rPr>
        <b/>
        <sz val="11"/>
        <color indexed="8"/>
        <rFont val="Times New Roman"/>
        <family val="1"/>
      </rPr>
      <t xml:space="preserve"> Del Ministro y/o Director General</t>
    </r>
  </si>
  <si>
    <t>Estado de Cambio de Activo / Patrimonio</t>
  </si>
  <si>
    <t>Capital Aportado</t>
  </si>
  <si>
    <t>Cambios en Políticas Contables</t>
  </si>
  <si>
    <t>Revaluación</t>
  </si>
  <si>
    <t>Resultados Acumulados</t>
  </si>
  <si>
    <t>Total Activos Netos / Patrimonio</t>
  </si>
  <si>
    <t>Cambio en políticas contables</t>
  </si>
  <si>
    <t>Revaluación de Propiedad, planta y equipo</t>
  </si>
  <si>
    <t xml:space="preserve">Ajuste al patrimonio </t>
  </si>
  <si>
    <t>Resultado del período</t>
  </si>
  <si>
    <t>Saldo al 01 de Enero de 2021</t>
  </si>
  <si>
    <t>Efecto del gasto de depreciación de los activos revaluados</t>
  </si>
  <si>
    <r>
      <t xml:space="preserve">           </t>
    </r>
    <r>
      <rPr>
        <b/>
        <sz val="11"/>
        <color indexed="8"/>
        <rFont val="Times New Roman"/>
        <family val="1"/>
      </rPr>
      <t xml:space="preserve"> Encargado Financiero</t>
    </r>
  </si>
  <si>
    <r>
      <t xml:space="preserve">     </t>
    </r>
    <r>
      <rPr>
        <b/>
        <sz val="11"/>
        <color indexed="8"/>
        <rFont val="Times New Roman"/>
        <family val="1"/>
      </rPr>
      <t>Encargado de Contabilidad</t>
    </r>
  </si>
  <si>
    <t>Saldo al 31 de Diciembre del 2021</t>
  </si>
  <si>
    <t>Estado de Flujo de Efectivo</t>
  </si>
  <si>
    <t>Flujos de efectivo procedentes de actividades de operación (AOP)</t>
  </si>
  <si>
    <t>Cobros impuestos</t>
  </si>
  <si>
    <t>Contribuciones de la seguridad social</t>
  </si>
  <si>
    <t>Cobros por venta de bienes y servicios y arrendamientos</t>
  </si>
  <si>
    <t>Cobros de subvenciones, transferencias, y otras asignaciones</t>
  </si>
  <si>
    <t>Cobros de seguros por primas, reclamos y otros</t>
  </si>
  <si>
    <t>Cobros por contratos mantenidos para negocios o intercambio</t>
  </si>
  <si>
    <t>Cobros de intereses financieros</t>
  </si>
  <si>
    <t>Otros cobros</t>
  </si>
  <si>
    <t>Pagos a los trabajadores o en beneficio de ellos</t>
  </si>
  <si>
    <t>Pagos por contribuciones a la seguridad social</t>
  </si>
  <si>
    <t>Pagos de pensiones y jubilaciones</t>
  </si>
  <si>
    <t xml:space="preserve">Pagos a proveedores </t>
  </si>
  <si>
    <t xml:space="preserve">Otros pagos </t>
  </si>
  <si>
    <t>Flujos de efectivo netos de las actividades de operación</t>
  </si>
  <si>
    <t>Flujos de efectivo de las actividades de inversión (AINV)</t>
  </si>
  <si>
    <t xml:space="preserve">Cobros por venta de propiedad, planta y equipo </t>
  </si>
  <si>
    <t>Cobros por venta de intangibles y otros activos de largo plazo</t>
  </si>
  <si>
    <t>Cobros por títulos patrimoniales o de deuda y participación en asociaciones</t>
  </si>
  <si>
    <t>Cobros por reembolsos de préstamos o anticipos hechos a terceros</t>
  </si>
  <si>
    <t>Cobros por conceptos de contratos a futuro, a plazo, opciones o permuta</t>
  </si>
  <si>
    <t xml:space="preserve">Pagos por adquisición de propiedad, planta y equipo </t>
  </si>
  <si>
    <t>Pagos por adquisición de intangibles y otros activos de largo plazo</t>
  </si>
  <si>
    <t>Pagos por adquisición de títulos patrimoniales o de deuda y participación en asociaciones</t>
  </si>
  <si>
    <t>Pagos por otorgamiento de préstamos o anticipos hechos a terceros</t>
  </si>
  <si>
    <t>Pagos por conceptos de contratos a futuro, a plazo, opciones o permuta</t>
  </si>
  <si>
    <t>Pagos por costos de construcciones y desarrollos en proceso</t>
  </si>
  <si>
    <t xml:space="preserve">Flujos de efectivo netos por las actividades de inversión </t>
  </si>
  <si>
    <t>Flujos de efectivo de las actividades de financiación</t>
  </si>
  <si>
    <t>Cobro por emisión de títulos de deudas, bonos</t>
  </si>
  <si>
    <t>Cobro por préstamos, pagarés, hipotecas</t>
  </si>
  <si>
    <t>Cobro por aporte de accionista</t>
  </si>
  <si>
    <t>Cobro de los arrendatarios por contratos de arrendamientos financieros</t>
  </si>
  <si>
    <t>Pago reembolso en efectivo de los montos recibidos en emisión de títulos de deudas, bonos</t>
  </si>
  <si>
    <t>Pago reembolso en efectivo de los montos recibidos en préstamos, pagarés, hipotecas</t>
  </si>
  <si>
    <t>Pago reembolso de efectivo recibió por aporte de accionista</t>
  </si>
  <si>
    <t xml:space="preserve">Pago por distribución/dividendos al gobierno </t>
  </si>
  <si>
    <t>Pago de los arrendatarios por contratos de arrendamientos financieros</t>
  </si>
  <si>
    <t>Flujos de efectivo netos por las actividades de financiación</t>
  </si>
  <si>
    <t xml:space="preserve">Incremento/(Disminución) neta en efectivo y equivalentes al efectivo </t>
  </si>
  <si>
    <t xml:space="preserve">Efectivo y equivalentes al efectivo al principio del período </t>
  </si>
  <si>
    <t xml:space="preserve">Efectivo y equivalentes al efectivo al final del período </t>
  </si>
  <si>
    <t xml:space="preserve">                                                                         Del Ministro y/o Director General</t>
  </si>
  <si>
    <r>
      <t xml:space="preserve">         </t>
    </r>
    <r>
      <rPr>
        <b/>
        <sz val="14"/>
        <rFont val="Times New Roman"/>
        <family val="1"/>
      </rPr>
      <t xml:space="preserve">  </t>
    </r>
    <r>
      <rPr>
        <b/>
        <sz val="11"/>
        <rFont val="Times New Roman"/>
        <family val="1"/>
      </rPr>
      <t>Encargado Financiero</t>
    </r>
  </si>
  <si>
    <r>
      <t xml:space="preserve"> </t>
    </r>
    <r>
      <rPr>
        <b/>
        <sz val="11"/>
        <rFont val="Times New Roman"/>
        <family val="1"/>
      </rPr>
      <t xml:space="preserve"> Encargado de Contabilidad</t>
    </r>
  </si>
  <si>
    <t xml:space="preserve">                              Del Ministro y/o Director General</t>
  </si>
  <si>
    <t>Terreno</t>
  </si>
  <si>
    <t>Edif. Y componente</t>
  </si>
  <si>
    <t>Maq. Y Equipos</t>
  </si>
  <si>
    <t xml:space="preserve">Mob. Y equipo de ofic. </t>
  </si>
  <si>
    <t>Equipo Transp. y otros</t>
  </si>
  <si>
    <t>Construcciones en Proceso</t>
  </si>
  <si>
    <t>Adiciones</t>
  </si>
  <si>
    <t xml:space="preserve">Otras -Ajustes </t>
  </si>
  <si>
    <t>Retiros</t>
  </si>
  <si>
    <t xml:space="preserve">otros-Retiros </t>
  </si>
  <si>
    <r>
      <t>Mobiliarios y equipos neto (Nota 11)</t>
    </r>
    <r>
      <rPr>
        <sz val="11"/>
        <color indexed="10"/>
        <rFont val="Times New Roman"/>
        <family val="1"/>
      </rPr>
      <t xml:space="preserve"> </t>
    </r>
  </si>
  <si>
    <t>Total Activos Corrientes</t>
  </si>
  <si>
    <t>Total Activos no Corrientes</t>
  </si>
  <si>
    <t>Activos no Corrientes</t>
  </si>
  <si>
    <t>Pasivos Corrientes</t>
  </si>
  <si>
    <t>Total Pasivos Corrientes</t>
  </si>
  <si>
    <t xml:space="preserve">Total Pasivos </t>
  </si>
  <si>
    <t>Total Activos Netos/Patrimonio</t>
  </si>
  <si>
    <t>Total Pasivos y Activos Netos/Patrimonio</t>
  </si>
  <si>
    <t xml:space="preserve">          Encargado Contabilidad </t>
  </si>
  <si>
    <r>
      <t xml:space="preserve">    </t>
    </r>
    <r>
      <rPr>
        <b/>
        <sz val="11"/>
        <rFont val="Times New Roman"/>
        <family val="1"/>
      </rPr>
      <t>Encargado Financiero</t>
    </r>
  </si>
  <si>
    <r>
      <t xml:space="preserve">                                            </t>
    </r>
    <r>
      <rPr>
        <b/>
        <sz val="11"/>
        <color indexed="8"/>
        <rFont val="Times New Roman"/>
        <family val="1"/>
      </rPr>
      <t xml:space="preserve"> Del Ministro y/o Director General</t>
    </r>
  </si>
  <si>
    <t>Resultados Positivos (ahorro) / Negativo (desahorro)</t>
  </si>
  <si>
    <t>Total Ingresos</t>
  </si>
  <si>
    <t>Total Gastos</t>
  </si>
  <si>
    <t>Las notas  son parte integral de estos Estados Financieros.</t>
  </si>
  <si>
    <t>no ejecutadas luego de varios años.Ajuste Crédito RD$130,490.61 instalación sistema SIAB.</t>
  </si>
  <si>
    <t xml:space="preserve">                                   Relación de Ingresos de Captación Directa</t>
  </si>
  <si>
    <t>Sub-Total Neto Ingresos de Captación Directa</t>
  </si>
  <si>
    <t>Otros Ingresos:</t>
  </si>
  <si>
    <t>Asignación Presupuestaria del MICM</t>
  </si>
  <si>
    <t>Ingresos de Captación Directa</t>
  </si>
  <si>
    <t xml:space="preserve">                   Resumen de Ingresos</t>
  </si>
  <si>
    <t>de trabajos de Construcciones de la Ingeniera a la  Onapi por un valor de RD$1,616,329.37. Estas Cuentas se ana-</t>
  </si>
  <si>
    <t xml:space="preserve">la Ing. Acevedo.Se obtuvo como resultado respuestas via comunicaciones de las instituciones financieras:Banco </t>
  </si>
  <si>
    <t>BHD, León,Banco de Reservas de la República Dominicana, Banco Vimenca,Asociación Cibao de Ahorros y</t>
  </si>
  <si>
    <t>lizaron con la documentación correspondiente para su posterior cobro.En año 2015, se procedió a la solicitud</t>
  </si>
  <si>
    <t xml:space="preserve">Sentencia No.026-02-2020-SC IV-00386 por la Primera Sala de la Cámara  Civil  y Comercial de la Corte de         </t>
  </si>
  <si>
    <t>Apelación del D.N.,a cual conforme a Certificación de la Suprema Corte de Justicia no fue recurrida en casación</t>
  </si>
  <si>
    <t xml:space="preserve">y por tanto obtuvo la calidad de la cosa irrevocablemente juzgada,la ONAPI trabó embargo retentivo contra </t>
  </si>
  <si>
    <t xml:space="preserve">**Corresponde a Registro Contable No.152,387 del 30/06/2019 por un valor de RD$ 969,548.51.Según Sentencia </t>
  </si>
  <si>
    <t xml:space="preserve">No.2016-SSEN-00153, de el Tribunal Colegiado de la Cámara Penal del Juzgado de Primera Instancia del Distrito </t>
  </si>
  <si>
    <t xml:space="preserve">bunal  Nacional en  la cual condena a la imputada Sra. Patricia Sánchez Vásquez a la devolución  de los valores </t>
  </si>
  <si>
    <t>malversados y dejados de percibir por  el Estado Dominicano en los años 2010,2011. No ha sido objeto de apela-</t>
  </si>
  <si>
    <t xml:space="preserve">*La partida de Automoviles corresponde a la adquisición de un Vehiculo Kia Soluto año 2021, fecha de registro Julio </t>
  </si>
  <si>
    <t>del 2021.</t>
  </si>
  <si>
    <t xml:space="preserve">RELACION DE CUENTAS POR PAGAR POR ANTIGUEDAD DE SALDOS </t>
  </si>
  <si>
    <t>FEHA DE FACTURA</t>
  </si>
  <si>
    <t>FACTURA No.</t>
  </si>
  <si>
    <t>NOMBRE PROVEEDOR</t>
  </si>
  <si>
    <t xml:space="preserve">DESCRIPCION </t>
  </si>
  <si>
    <t>VALOR  NETO RD$</t>
  </si>
  <si>
    <t>FECHA DE FACTURA</t>
  </si>
  <si>
    <t>IMPUESTOS</t>
  </si>
  <si>
    <t>TOTAL BRUTO</t>
  </si>
  <si>
    <t>OBSERVACIONES</t>
  </si>
  <si>
    <t>SUB-TOTAL NETO</t>
  </si>
  <si>
    <t>TOTAL GENERAL</t>
  </si>
  <si>
    <t xml:space="preserve">                         Encargado Contabilidad </t>
  </si>
  <si>
    <t xml:space="preserve">                    Encargado Financiero </t>
  </si>
  <si>
    <t xml:space="preserve">                                                                                                         Del Ministro y/o Director General</t>
  </si>
  <si>
    <t>Interinato</t>
  </si>
  <si>
    <t>Publicaciones de Avisos Oficiales</t>
  </si>
  <si>
    <t>Hospedaje</t>
  </si>
  <si>
    <t>Ley 134-03 10% CERTV</t>
  </si>
  <si>
    <t>Otros Cargos Bancarios-TC</t>
  </si>
  <si>
    <t>Otras Cargos Bancarios-Devolución de Fondos Reintegro</t>
  </si>
  <si>
    <t>Premios Literarios,Deportivos y Artisticos</t>
  </si>
  <si>
    <t>1-Sub-Cuenta 9995003000 un balance en USD de $29,369.90 ,equivalente en RD$1,674,774.98</t>
  </si>
  <si>
    <t>2-Sub-Cuenta 00100022000 un balance en USD de $23,281.81,equivalente en RD$1,330,352.89</t>
  </si>
  <si>
    <t>Cuenta No.9995003001 en USD$,  el negativo al 31/12/2022 del equivalente en Pesos  corresponde a que el día</t>
  </si>
  <si>
    <t>Cuenta No.9995002000 en EUR  el negativo al 31/12/2022 del equivalente en Pesos  corresponde a que el</t>
  </si>
  <si>
    <t>día 21/11/2022 el  equivalente en Pesos fué de RD$160,060.76. La Tesoreria Nacional realizó una Asignación</t>
  </si>
  <si>
    <t>de Cuota de Pago Débito siendo el equivalente en pesos de RD$165,131.82,generándose el negativo</t>
  </si>
  <si>
    <t>Cuenta No.9995002001 en EUR  el negativo al 31/12/2022 del equivalente en Pesos  corresponde a que el</t>
  </si>
  <si>
    <t>12/10/2022  el balance de la Cuenta en pesos fué de RD$24,098.90, y se realizó el Ordenamiento de pago a</t>
  </si>
  <si>
    <t xml:space="preserve">día 22/11/2022 el  equivalente en Pesos fué de RD$151,826.61.Se realizó un Ordenamiento  de Pago a la </t>
  </si>
  <si>
    <t>Secretaria General Iberoamericana siendo el equivalente en pesos de RD$163,283.20,generándose el negativo</t>
  </si>
  <si>
    <t>al Area de  Jurídica para los fines correspondientes.El estatus al 31/Dic. /2022 es que la ONAPI amparada en la</t>
  </si>
  <si>
    <t>Préstamos,Banco Santa Cruz y Banco Caribe.Se obtuvieron los siguientes resultados: Banco BHD León USD$.39</t>
  </si>
  <si>
    <t>Banco de Reservas de la Rep. Dom. RD$5,540.12, y Banco Santa Cruz USD$1,245.19.</t>
  </si>
  <si>
    <t>ción, por lo que el estatus al 31/12/2022 sigue igual.</t>
  </si>
  <si>
    <t>Seguro de Vehículos</t>
  </si>
  <si>
    <t xml:space="preserve">actvo asi como su depreciación acumulada al 2022,el método </t>
  </si>
  <si>
    <t>su depreciación acumulada al 2022,el método utilizado es el de Linea Recta,</t>
  </si>
  <si>
    <t>Pistolas</t>
  </si>
  <si>
    <t>Tostadora</t>
  </si>
  <si>
    <t>Estufas</t>
  </si>
  <si>
    <t>Inversores O-Puerto Plata</t>
  </si>
  <si>
    <t>Detectores de Metales</t>
  </si>
  <si>
    <t>AÑOS 2022,2021</t>
  </si>
  <si>
    <t xml:space="preserve"> cuenta al 31-12-2021 es de RD$148,391,678.17.siendo el valor al 31 de Diciembre del 2022 de esta </t>
  </si>
  <si>
    <t>cuenta de RD$148,489,264.17.</t>
  </si>
  <si>
    <t>Del ejercicio terminado al 31 de diciembre del 2022 y 2021</t>
  </si>
  <si>
    <t xml:space="preserve">Activos Netos/Patrimonio </t>
  </si>
  <si>
    <t>Del ejercicio terminado al 31 de Diciembre de 2022 y 2021</t>
  </si>
  <si>
    <t>Saldo al 01 de Enero de 2022</t>
  </si>
  <si>
    <t>Saldo al 31 de Diciembre del 2022</t>
  </si>
  <si>
    <t>de la DIGECOG.</t>
  </si>
  <si>
    <t>1-Ajuste de Notas de Crédito Vencidas no usadas por los clientes por valor de  RD$86,457.00.</t>
  </si>
  <si>
    <t>2-Ajuste Débito Nota de Crédito de usadas de Recaudaciones de Años anteriores por valor de RD$4,025.00</t>
  </si>
  <si>
    <t>3-Ajuste Crédito por deposito de excedente en Cheque No.000647 de Cierre Fiscal por valor de RD$71.00</t>
  </si>
  <si>
    <t xml:space="preserve">4-Ajuste Débito por un  monto de RD$124,449.33 de  disminución de Resultados por Depreciación de años anteriores y  observación </t>
  </si>
  <si>
    <t>Al 31 de diciembre de 2022 y 2021</t>
  </si>
  <si>
    <t xml:space="preserve">                                                                                    Del  1ero. Al  31 de Diciembre del 2022 y 2021</t>
  </si>
  <si>
    <t>Los Ingresos de Captación Directa Netos tuvieron un aumento de RD$11,604,285.00  en el  del 2022 en relación al 2021,</t>
  </si>
  <si>
    <t>representando  el aumento en termino porcentual de un 3%,indicando un buen manejo Económico y Financiero de la Onapi.</t>
  </si>
  <si>
    <t>2-Aporte al Campamento Verano Innovador RD$500,000.00 por parte de la Mescyt</t>
  </si>
  <si>
    <t>3-RD$8,698.09, de diferencias cambiarias en pagos Internacionales y ajustes de la Tesoreria Nacional en las sub-cuentas por Diferencias Cambiarias y Procesos Varios.</t>
  </si>
  <si>
    <t>1-Devolución de la Tesoreria Nacional por Subsidios de Maternidad y Lactancia RD$633,563.57</t>
  </si>
  <si>
    <t>4-RD$400.00 de Excedente en Arqueo de Caja Chica</t>
  </si>
  <si>
    <t>Incluyen un monto de RD$1,142662.00 de Otros Ingresos, se componen como sigue:</t>
  </si>
  <si>
    <t>La institución recibió en al Año 2022 por concepto de Asignación Presupuestaria por parte del MICM un monto de RD$59,100,260.00</t>
  </si>
  <si>
    <t>Total Ingresos Año 2022</t>
  </si>
  <si>
    <t>Sub-Total Neto Principal-Web</t>
  </si>
  <si>
    <t>PREPARADO POR</t>
  </si>
  <si>
    <t>LIC. YENNY L. ACOSTA HERNANDEZ</t>
  </si>
  <si>
    <t>Equipos Adquiridos pendientes Instalar</t>
  </si>
  <si>
    <t>Del ejercicio terminado al 31 de Diciembre del 2022 y 2021</t>
  </si>
  <si>
    <t>AL 31 DE DICIEMBRE  DEL 2022</t>
  </si>
  <si>
    <t>5-Ajuste Crédito por valor de RD$3,681.60 anulación de facturas de Comercial Andalucia No.A010010011500000006</t>
  </si>
  <si>
    <t>Notas: En la cuenta de pago a trabajadores están incluidos otras compensaciones a empleados. En la cuenta de Gastos está incluido</t>
  </si>
  <si>
    <t>el bono por Compensación Extraordinaria el cual no se desembolsa hasta Enero 2023, por tal razón no está incluido en el Flujo de Efectivo</t>
  </si>
  <si>
    <t>Los Otros pagos en actividades de operación, incluyen pagos de retenciones de Impuestos y otros</t>
  </si>
  <si>
    <t xml:space="preserve">Estado de Comparación de los Importes Presupuestados y Realizados </t>
  </si>
  <si>
    <t>Durante el Año Terminado al 31 diciembre de 2022</t>
  </si>
  <si>
    <t>Presupuesto sobre la Base de Efectivo</t>
  </si>
  <si>
    <t>(Clasificación de Ingresos y Gastos por Objeto)</t>
  </si>
  <si>
    <r>
      <rPr>
        <b/>
        <sz val="11"/>
        <rFont val="Times New Roman"/>
        <family val="1"/>
      </rPr>
      <t>Concepto</t>
    </r>
  </si>
  <si>
    <r>
      <rPr>
        <b/>
        <sz val="11"/>
        <rFont val="Times New Roman"/>
        <family val="1"/>
      </rPr>
      <t>Presupuesto Reformado (A)</t>
    </r>
  </si>
  <si>
    <r>
      <rPr>
        <b/>
        <sz val="11"/>
        <rFont val="Times New Roman"/>
        <family val="1"/>
      </rPr>
      <t>Presupuesto Ejecutado (B)</t>
    </r>
  </si>
  <si>
    <t>% de Variac Ejecución (C=B/A)</t>
  </si>
  <si>
    <t>Variación (D=A-B)</t>
  </si>
  <si>
    <r>
      <rPr>
        <b/>
        <sz val="11"/>
        <rFont val="Times New Roman"/>
        <family val="1"/>
      </rPr>
      <t>Ingresos totales</t>
    </r>
  </si>
  <si>
    <r>
      <rPr>
        <sz val="11"/>
        <rFont val="Times New Roman"/>
        <family val="1"/>
      </rPr>
      <t>Impuestos</t>
    </r>
  </si>
  <si>
    <r>
      <rPr>
        <sz val="11"/>
        <rFont val="Times New Roman"/>
        <family val="1"/>
      </rPr>
      <t>Contribuciones Sociales</t>
    </r>
  </si>
  <si>
    <r>
      <rPr>
        <sz val="11"/>
        <rFont val="Times New Roman"/>
        <family val="1"/>
      </rPr>
      <t>Donaciones</t>
    </r>
  </si>
  <si>
    <r>
      <rPr>
        <sz val="11"/>
        <rFont val="Times New Roman"/>
        <family val="1"/>
      </rPr>
      <t>Transferencias</t>
    </r>
  </si>
  <si>
    <r>
      <rPr>
        <sz val="11"/>
        <rFont val="Times New Roman"/>
        <family val="1"/>
      </rPr>
      <t>Ingresos por contraprestación</t>
    </r>
  </si>
  <si>
    <r>
      <rPr>
        <sz val="11"/>
        <rFont val="Times New Roman"/>
        <family val="1"/>
      </rPr>
      <t>Otros ingresos</t>
    </r>
  </si>
  <si>
    <r>
      <rPr>
        <sz val="11"/>
        <rFont val="Times New Roman"/>
        <family val="1"/>
      </rPr>
      <t>Venta de activos no financieros</t>
    </r>
  </si>
  <si>
    <r>
      <rPr>
        <sz val="11"/>
        <rFont val="Times New Roman"/>
        <family val="1"/>
      </rPr>
      <t>Activos financieros con fines de política</t>
    </r>
  </si>
  <si>
    <r>
      <rPr>
        <sz val="11"/>
        <rFont val="Times New Roman"/>
        <family val="1"/>
      </rPr>
      <t>Ingresos a especificar</t>
    </r>
  </si>
  <si>
    <r>
      <rPr>
        <b/>
        <sz val="11"/>
        <rFont val="Times New Roman"/>
        <family val="1"/>
      </rPr>
      <t>Gastos totales</t>
    </r>
  </si>
  <si>
    <r>
      <rPr>
        <sz val="11"/>
        <rFont val="Times New Roman"/>
        <family val="1"/>
      </rPr>
      <t>Remuneraciones y contribuciones</t>
    </r>
  </si>
  <si>
    <r>
      <rPr>
        <sz val="11"/>
        <rFont val="Times New Roman"/>
        <family val="1"/>
      </rPr>
      <t>Contratación de servicios</t>
    </r>
  </si>
  <si>
    <r>
      <rPr>
        <sz val="11"/>
        <rFont val="Times New Roman"/>
        <family val="1"/>
      </rPr>
      <t>Materiales y suministros</t>
    </r>
  </si>
  <si>
    <r>
      <rPr>
        <sz val="11"/>
        <rFont val="Times New Roman"/>
        <family val="1"/>
      </rPr>
      <t>Transferencias corrientes</t>
    </r>
  </si>
  <si>
    <r>
      <rPr>
        <sz val="11"/>
        <rFont val="Times New Roman"/>
        <family val="1"/>
      </rPr>
      <t>Transferencias de capital</t>
    </r>
  </si>
  <si>
    <r>
      <rPr>
        <sz val="11"/>
        <rFont val="Times New Roman"/>
        <family val="1"/>
      </rPr>
      <t>Bienes muebles, inmuebles e intangibles</t>
    </r>
  </si>
  <si>
    <r>
      <rPr>
        <sz val="11"/>
        <rFont val="Times New Roman"/>
        <family val="1"/>
      </rPr>
      <t>Obras</t>
    </r>
  </si>
  <si>
    <t>Adquisición de Activos Financieros con fines de Políticas</t>
  </si>
  <si>
    <r>
      <rPr>
        <sz val="11"/>
        <rFont val="Times New Roman"/>
        <family val="1"/>
      </rPr>
      <t>Gastos financieros</t>
    </r>
  </si>
  <si>
    <r>
      <rPr>
        <b/>
        <sz val="12"/>
        <color indexed="63"/>
        <rFont val="Times New Roman"/>
        <family val="1"/>
      </rPr>
      <t>Resultado financiero (1-2)</t>
    </r>
  </si>
  <si>
    <t xml:space="preserve">            Del Ministro y/o Director General</t>
  </si>
  <si>
    <t>Costos de Adquisición (Ene. 2022)</t>
  </si>
  <si>
    <t>Saldo al final del Periodo</t>
  </si>
  <si>
    <t>Dep. Acum. al Inicio del Periodo</t>
  </si>
  <si>
    <t>Cargo del Periodo</t>
  </si>
  <si>
    <t>Saldo al Final del Periodo</t>
  </si>
  <si>
    <t>Prop. Planta y Equipos Netos al (31-12-2022)</t>
  </si>
  <si>
    <t>Costos de Adquisición (Ene. 2021)</t>
  </si>
  <si>
    <t>Prop. Planta y Equipos Netos al (31-12-2021)</t>
  </si>
  <si>
    <t>Nota: En la Depreciación Acumulada del Equipo de Transporte se realizó una Reclasificación por valor de RD$356,134.86, por cambio en los años de la Vida Util.Este monto corresponde</t>
  </si>
  <si>
    <t>a la transferencia del Ascensor (estaba clasificado en la cuenta de Mejoras a Propiedad del Estado con vida útil a 50 Años), al rubro Equipo de Transporte con una vida Util a 20 Años.Esta</t>
  </si>
  <si>
    <t>Nota: Estamos en proceso de terminar de insertar los Activos fIjos en en el SIAB y de Conciliar para finalizar los ajustes de lugar.</t>
  </si>
  <si>
    <t>reclasificación se realizó en cumplimiento a lo estabecido en el Catálogo de Bienes de Estado.</t>
  </si>
  <si>
    <t>DIFERENCIAS IDENTIFICADAS</t>
  </si>
  <si>
    <t xml:space="preserve">REINTEGRO DE LIB. </t>
  </si>
  <si>
    <t>DIAS  NO TRABAJADOS LIB. 2022</t>
  </si>
  <si>
    <t>DIAS  NO TRABAJADOS LIB. 2021</t>
  </si>
  <si>
    <t>DIFERENCIA</t>
  </si>
  <si>
    <t>TOTAL DIFERENCIAS IDENTIFICADAS</t>
  </si>
  <si>
    <t>Compensación Extraordinaria</t>
  </si>
  <si>
    <t>SIGEF</t>
  </si>
  <si>
    <t>PARA REGISTRAR FACTURA CON NCF B1500262768, POR SERVICIO DE ENERGIA ELECTRICA MES DE DICIEMBRE 2021.DEL 02/11/2021-02/12/2021.</t>
  </si>
  <si>
    <t>LLEVADAS A INVENTARIO</t>
  </si>
  <si>
    <t>FACTURAS DE AÑOS ANTERIORES</t>
  </si>
  <si>
    <t>LLEVADO A OTRO GASTO</t>
  </si>
  <si>
    <t>CORRESPONDE A GASTOS DE CAJA CHICA/LIQ. TRANSFERENCIAS</t>
  </si>
  <si>
    <t>NOTA 22:</t>
  </si>
  <si>
    <t>NOTA  25:</t>
  </si>
  <si>
    <t>NOTA 26:</t>
  </si>
  <si>
    <t>Gastos (Notas 20, 21, 22, 23, 24,25,26)</t>
  </si>
  <si>
    <t>DA-12016-248</t>
  </si>
  <si>
    <t>R-SOSA CONSTRUCTORA</t>
  </si>
  <si>
    <t>CONSTRUCCION 4TO NIVEL ONAPI</t>
  </si>
  <si>
    <t>A LA ESPERA DE LA FACTURA PARA CIERRE</t>
  </si>
  <si>
    <t>01/01/2022</t>
  </si>
  <si>
    <t>B1500000794</t>
  </si>
  <si>
    <t>LABORATORIO ORBIS, S. A.</t>
  </si>
  <si>
    <t>B1500000491</t>
  </si>
  <si>
    <t>IMPORTADORA K&amp;G, S.A.S.</t>
  </si>
  <si>
    <t>B1500000143</t>
  </si>
  <si>
    <t>METALGLASS VENTANAS Y CRISTALES DEL ROSARIO, S.R.L.</t>
  </si>
  <si>
    <t>B1500000313</t>
  </si>
  <si>
    <t>INTERDECO, S.R.L.</t>
  </si>
  <si>
    <t>RCT00000000001715</t>
  </si>
  <si>
    <t>B1500000021</t>
  </si>
  <si>
    <t>COMERCIAL UYN, S.R.L.</t>
  </si>
  <si>
    <t>DIFERENCIA EN REGIST</t>
  </si>
  <si>
    <t>HUASCAR ANTONIO TAVAREZ GUZMAN</t>
  </si>
  <si>
    <t>B15000000397-ORD114831 LIB 1831-1</t>
  </si>
  <si>
    <t>MERCANTIL RAMI, S.R.L.</t>
  </si>
  <si>
    <t>B1500002397</t>
  </si>
  <si>
    <t>SERVICIOS E INSTALACIONES TECNICAS, S.R.L.</t>
  </si>
  <si>
    <t>B1500000024</t>
  </si>
  <si>
    <t>DIF. EN PAGOS</t>
  </si>
  <si>
    <t>PC OUTLET, S. A.</t>
  </si>
  <si>
    <t>B1500000773</t>
  </si>
  <si>
    <t>ALFA DIGITAL SINGS AND GRAPHICS, S.R.L.</t>
  </si>
  <si>
    <t>B1500002989</t>
  </si>
  <si>
    <t>GTG INDUSTRIAL, S.R.L.</t>
  </si>
  <si>
    <t>B1500000483</t>
  </si>
  <si>
    <t>B1500000230</t>
  </si>
  <si>
    <t>NJCJ SUPLIDORES, S.R.L.</t>
  </si>
  <si>
    <t>B1500000179</t>
  </si>
  <si>
    <t>PAPELES CARIBE, S. A.</t>
  </si>
  <si>
    <t>B1500003072</t>
  </si>
  <si>
    <t>PUBLICACIONES AHORA, C. POR A.</t>
  </si>
  <si>
    <t>B1500002183</t>
  </si>
  <si>
    <t>RESTAURANT BOGA BOGA, S.R.L.</t>
  </si>
  <si>
    <t>B1500023697</t>
  </si>
  <si>
    <t>SANTO DOMINGO MOTORS COMPANY, S.A.</t>
  </si>
  <si>
    <t>B1500000403</t>
  </si>
  <si>
    <t>SIMPAPEL, S.R.L.</t>
  </si>
  <si>
    <t>B1500000772</t>
  </si>
  <si>
    <t>B1500044393</t>
  </si>
  <si>
    <t>ALTICE DOMINICANA, S.A.</t>
  </si>
  <si>
    <t>B1500045255</t>
  </si>
  <si>
    <t>B1500046170</t>
  </si>
  <si>
    <t>B1500000299</t>
  </si>
  <si>
    <t>ANASTACIA FELICIA SANCHEZ DE CASTRO</t>
  </si>
  <si>
    <t>B1500001323</t>
  </si>
  <si>
    <t>ARGICO, S.A.S.</t>
  </si>
  <si>
    <t>B1500000162</t>
  </si>
  <si>
    <t>CENTRO COMERCIAL CORAL MALL</t>
  </si>
  <si>
    <t>B1500147262</t>
  </si>
  <si>
    <t>CENTRO CUESTA NACIONAL, C. POR A.</t>
  </si>
  <si>
    <t>B1500000336</t>
  </si>
  <si>
    <t>CIANO GOURMET, S.R.L.</t>
  </si>
  <si>
    <t>B1500000353</t>
  </si>
  <si>
    <t>B1500000354</t>
  </si>
  <si>
    <t>B1500004017</t>
  </si>
  <si>
    <t>COLUMBUS NETWORKS DOMINICANA, S.A.</t>
  </si>
  <si>
    <t>B1500000106</t>
  </si>
  <si>
    <t>EL ARTE DE LAS DECORACIONES CARSAN, S.R.L.</t>
  </si>
  <si>
    <t>B1500000073</t>
  </si>
  <si>
    <t>ELECTROCONSTRUCONT, S.R.L.</t>
  </si>
  <si>
    <t>B1500000074</t>
  </si>
  <si>
    <t>B1500000076</t>
  </si>
  <si>
    <t>B1500000014</t>
  </si>
  <si>
    <t>EROLAS, S.R.L.</t>
  </si>
  <si>
    <t>GRAMONI. S.R.L.</t>
  </si>
  <si>
    <t>B1500000110</t>
  </si>
  <si>
    <t>B1500000032</t>
  </si>
  <si>
    <t>INGENIERIA Y PERFORACIONES IMPER, S.R.L.</t>
  </si>
  <si>
    <t>B1500000416</t>
  </si>
  <si>
    <t>INVERSIONES CORPORATIVAS SALADILLO, S. R. L.</t>
  </si>
  <si>
    <t>B1500000679</t>
  </si>
  <si>
    <t>INVERSIONES SIURANA, S.R.L.</t>
  </si>
  <si>
    <t>B1500000005</t>
  </si>
  <si>
    <t>JESUS DEL CARMEN BATISTA CANELA</t>
  </si>
  <si>
    <t>B1500000139</t>
  </si>
  <si>
    <t>JUAN MANUEL GUERRERO DE JESUS</t>
  </si>
  <si>
    <t>B1500000200</t>
  </si>
  <si>
    <t>MARINO RAMIREZ GRULLON</t>
  </si>
  <si>
    <t>B1500003129</t>
  </si>
  <si>
    <t>B1500000012</t>
  </si>
  <si>
    <t>RUBEN DARIO CABRERA</t>
  </si>
  <si>
    <t>B1500007710</t>
  </si>
  <si>
    <t>SEGURO NACIONAL DE SALUD</t>
  </si>
  <si>
    <t>B1500000071.</t>
  </si>
  <si>
    <t>VICTOR MANUEL ROSADO BELTRE</t>
  </si>
  <si>
    <t>B1500000297</t>
  </si>
  <si>
    <t>VISION INTEGRAL, S.R.L.</t>
  </si>
  <si>
    <t>el dia 10 de Enero del 2023.</t>
  </si>
  <si>
    <t>la OMPI y la  INAPI ,siendo el equivalente en pesos de RD$27,983.18, generando el negativo  en pesos</t>
  </si>
  <si>
    <t xml:space="preserve">Las Cuentas de Bancos todas pertenecen al Sistema de Cuenta Unica del Tesoro. A excepción de la Cuenta de </t>
  </si>
  <si>
    <t>Anticipos que tiene su regularización y la partida Recaudaciones en Tránsito ver nota anterior.</t>
  </si>
  <si>
    <t xml:space="preserve">               NOTAS A LOS ESTADOS FINANCIEROS</t>
  </si>
  <si>
    <t xml:space="preserve">        AL 31 DE DICIEMBRE DEL 2022</t>
  </si>
  <si>
    <t>Sobregiro Bancario</t>
  </si>
  <si>
    <t>Otros Pagos-Sobregiro Bancario</t>
  </si>
  <si>
    <t>Otros cobros-Sobregiro Bancarios</t>
  </si>
  <si>
    <t>Nota: Los Incentivos Por Pagar  RD$17,339,441.26 y los Impuestos  RD$4,007,697.12, se pagan el Lib. Nos.3249-1 y 3250-1</t>
  </si>
  <si>
    <t xml:space="preserve">Notas: A solicitud de la DIGECOG se realizó la conciliación de nuestro sistema contable con el SIGEF. Las partidas </t>
  </si>
  <si>
    <t>verificadas en el 2022. Sueldos Fijos presenta una diferencia de RD$156,156.16.Corresponde a un monto de RD$92,954.16</t>
  </si>
  <si>
    <t xml:space="preserve">de descuento de dias no trabajados en pago de indemnizaciones. Un monto de RD$63,202.00 de  Reintegros de los </t>
  </si>
  <si>
    <t>Libramientos.Al igual en la partida de Compensación por servicios de Seguridad de un monto de RD$14,437.10,corresponde</t>
  </si>
  <si>
    <t>a Reintegro de Libramiento.</t>
  </si>
  <si>
    <t xml:space="preserve">Nota: Las diferencias de las partidas del Servicio no personales en nuestro Sistema Contable con el SIGEF corresponde a </t>
  </si>
  <si>
    <t xml:space="preserve">que el Sistema de registro de Material Gastable usado por la institución se lleva a la partida de Inventario(existencia, Activos) </t>
  </si>
  <si>
    <t>y el SIGEF lo tiene en Gastos.</t>
  </si>
  <si>
    <t xml:space="preserve">rativo, presenta RD$54,309,817.58, corresponde a que por observación de la DIGECOG y en cumplimiento de las </t>
  </si>
  <si>
    <t>normas de Elaboración de los EF , en el 2022 se segregan las partidas de Gastos Financieros por valor de RD$10,076,631.11</t>
  </si>
  <si>
    <t>Las Cuentas en el Estado de Rendimiento de Otros Gastos en el 2021, presenta un monto de RD$64,390,613.62 y en este compa-</t>
  </si>
  <si>
    <t>y de Diferencias Cambiarias de RD$4,164.93</t>
  </si>
  <si>
    <t xml:space="preserve">Notas: La partida de Premios, Deportivos y Artisiticos presenta tanto en SIGEF como en nuestro sistema contable el monto de </t>
  </si>
  <si>
    <t xml:space="preserve">RD$407,500.00. La Partida de Ayuda y Donaciones a Personas la diferencia corresponde a RD$249,449.05 de Donaciones en </t>
  </si>
  <si>
    <t>Campamento Verano Innovador 2022. Y un monto de RD$10,000.00 de Aporte a la Asociación de Servidores Públicos.</t>
  </si>
  <si>
    <t>Recargo de Deuda Interna de RD$1,762.51, por comisión de pago de TC. La partida de instituciones privadas sin fines de lucro</t>
  </si>
  <si>
    <t>Notas: Los ajustes al resultados acumulados en el año 2022 corresponde a:</t>
  </si>
  <si>
    <t>un monto de RD$8,020.00, por utensilios para llevar al altar por ofrenda a Parroquia en el XXII aniversario de la ONAPI.</t>
  </si>
  <si>
    <t>Los otros pagos en actividades de Financiamiento incluyen los pagos por comisiones a Cardnet y American Amex y otros. Además</t>
  </si>
  <si>
    <t>se suman las Reclamaciones de los Clientes de ventas via Web, que estas partidas se llevan a Descuentos Cardnet en el rubro de la Partida de</t>
  </si>
  <si>
    <t xml:space="preserve"> Ingresos.</t>
  </si>
  <si>
    <t>El cargo del  Periodo hace un valor de RD$13,531,623.84 . El monto de RD$13,656,073.77 , en este total se adiciona por observación de la DIGECOG RD$124,449.43.Ya verificado en observaciones</t>
  </si>
  <si>
    <t>anteriores.</t>
  </si>
  <si>
    <t>Nota: La diferencia en los montos del ingreso, se debe a una adición de presupuesto aprobado de balance de años anteriores por valor de RD$40, 000,000.00, el cual aumento lo programado y lo ejecutado.</t>
  </si>
  <si>
    <t xml:space="preserve">A este monto se adiciona RD$23,775.00 recaudación en efectivo de la Oficina Regional Norte que se deposita </t>
  </si>
  <si>
    <t>el 03 de Enero del 2023.</t>
  </si>
  <si>
    <t xml:space="preserve">La Cuenta de Recaudaciones en Tránsito el monto de RD$30,117.00, corresponde al Lote No.542 un monto de </t>
  </si>
  <si>
    <t xml:space="preserve"> RD$6,342.00 de Recaudaciones via Web del 31122022, que Cardnet liquida lo del Mes de  Diciembre en Enero del 2023.</t>
  </si>
  <si>
    <t>*-La Cuenta de Seguros de Averias de Maquinarias al 31-12-2021 no presenta balance debido a que la  ONAPI en el año</t>
  </si>
  <si>
    <t>Total Terreno</t>
  </si>
  <si>
    <t>Nota: En estas partidas existe un monto de RD$30,744.19, de (6) Sillones que al 31122022, no han sido ubicados al custodio,</t>
  </si>
  <si>
    <t>por tal razón no está incluido en el monto de la Depreciación Acumulada.</t>
  </si>
  <si>
    <t>que cubre la póliza Agosto 2021-2022, no llegó. La factura de Seguro de Fidelidad no ha llegado al Area de Contabilidad para</t>
  </si>
  <si>
    <t>registro la que cubre periodo de Octubre 2022-2023.</t>
  </si>
  <si>
    <t>El aumento de la partida Otros Mobiliarios y Equipos de Oficina se debe a compra de un Contenedor por valor de RD$942,984.02,</t>
  </si>
  <si>
    <t>Compra de Anaqueles por valor de RD$295,944.00, y compra de Equipos de Audio por valor de RD$101,244.00.</t>
  </si>
  <si>
    <t>Las notas desde la Página No.01 hasta la Página No.04 son parte integral de estos Estados Financieros.</t>
  </si>
  <si>
    <t xml:space="preserve">                                                                                   Relación de Gastos Años 2022,2021</t>
  </si>
  <si>
    <t>Las notas desde la Página No.01 hasta la Página No.07 son parte integral de estos Estados Financieros.</t>
  </si>
  <si>
    <t>de (RD$3,884.28). Por sugerencia de la DIGECOG y según NICSP se lleva a Sobregiro Bancario para fines de presentación.</t>
  </si>
  <si>
    <t>en pesos de (RD$5,071.06). Por sugerencia de la DIGECOG y según NICSP se lleva a Sobregiro Bancario para fines de presentación.</t>
  </si>
  <si>
    <t>en pesos de (RD$11,456.59). Por sugerencia de la DIGECOG y según NICSP se lleva a Sobregiro Bancario para fines de presentación.</t>
  </si>
</sst>
</file>

<file path=xl/styles.xml><?xml version="1.0" encoding="utf-8"?>
<styleSheet xmlns="http://schemas.openxmlformats.org/spreadsheetml/2006/main">
  <numFmts count="51">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0\ _P_t_s_-;\-* #,##0.00\ _P_t_s_-;_-* &quot;-&quot;??\ _P_t_s_-;_-@_-"/>
    <numFmt numFmtId="179" formatCode="#,##0.00\ _€"/>
    <numFmt numFmtId="180" formatCode="#,##0.0_);\(#,##0.0\)"/>
    <numFmt numFmtId="181" formatCode="#,##0.00_ ;\-#,##0.00\ "/>
    <numFmt numFmtId="182" formatCode="#,##0.0000000_ ;\-#,##0.0000000\ "/>
    <numFmt numFmtId="183" formatCode="#,##0.00;[Red]#,##0.00"/>
    <numFmt numFmtId="184" formatCode="#,##0.00000000_ ;\-#,##0.00000000\ "/>
    <numFmt numFmtId="185" formatCode="#,##0.0"/>
    <numFmt numFmtId="186" formatCode="&quot;$&quot;#,##0.00"/>
    <numFmt numFmtId="187" formatCode="#,##0.000_ ;\-#,##0.000\ "/>
    <numFmt numFmtId="188" formatCode="#,##0.000_);\(#,##0.000\)"/>
    <numFmt numFmtId="189" formatCode="#,##0.0000000000_ ;\-#,##0.0000000000\ "/>
    <numFmt numFmtId="190" formatCode="#,##0.00000000000_ ;\-#,##0.00000000000\ "/>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dd/mm/yyyy;@"/>
    <numFmt numFmtId="198" formatCode="mm/dd/yyyy;@"/>
    <numFmt numFmtId="199" formatCode="#,##0.000000000"/>
    <numFmt numFmtId="200" formatCode="#,##0.0000000000"/>
    <numFmt numFmtId="201" formatCode="_(* #,##0.0_);_(* \(#,##0.0\);_(* &quot;-&quot;_);_(@_)"/>
    <numFmt numFmtId="202" formatCode="_(* #,##0.00_);_(* \(#,##0.00\);_(* &quot;-&quot;_);_(@_)"/>
    <numFmt numFmtId="203" formatCode="_(* #,##0.000_);_(* \(#,##0.000\);_(* &quot;-&quot;_);_(@_)"/>
    <numFmt numFmtId="204" formatCode="#,##0.000000000000"/>
    <numFmt numFmtId="205" formatCode="#,##0.0_ ;\-#,##0.0\ "/>
    <numFmt numFmtId="206" formatCode="_(* #,##0.000_);_(* \(#,##0.000\);_(* &quot;-&quot;???_);_(@_)"/>
  </numFmts>
  <fonts count="157">
    <font>
      <sz val="11"/>
      <color theme="1"/>
      <name val="Calibri"/>
      <family val="2"/>
    </font>
    <font>
      <sz val="11"/>
      <color indexed="8"/>
      <name val="Calibri"/>
      <family val="2"/>
    </font>
    <font>
      <sz val="10"/>
      <name val="Arial"/>
      <family val="2"/>
    </font>
    <font>
      <sz val="9"/>
      <name val="Arial"/>
      <family val="2"/>
    </font>
    <font>
      <b/>
      <u val="single"/>
      <sz val="9"/>
      <name val="Times New Roman"/>
      <family val="1"/>
    </font>
    <font>
      <b/>
      <sz val="10"/>
      <name val="Arial"/>
      <family val="2"/>
    </font>
    <font>
      <sz val="10"/>
      <name val="Book Antiqua"/>
      <family val="1"/>
    </font>
    <font>
      <b/>
      <sz val="14"/>
      <name val="Book Antiqua"/>
      <family val="1"/>
    </font>
    <font>
      <b/>
      <sz val="10"/>
      <name val="Book Antiqua"/>
      <family val="1"/>
    </font>
    <font>
      <b/>
      <sz val="11"/>
      <name val="Book Antiqua"/>
      <family val="1"/>
    </font>
    <font>
      <b/>
      <sz val="12"/>
      <name val="Arial"/>
      <family val="2"/>
    </font>
    <font>
      <b/>
      <sz val="20"/>
      <name val="Book Antiqua"/>
      <family val="1"/>
    </font>
    <font>
      <b/>
      <sz val="12"/>
      <name val="Book Antiqua"/>
      <family val="1"/>
    </font>
    <font>
      <sz val="12"/>
      <name val="Book Antiqua"/>
      <family val="1"/>
    </font>
    <font>
      <sz val="14"/>
      <name val="Book Antiqua"/>
      <family val="1"/>
    </font>
    <font>
      <sz val="20"/>
      <name val="Arial"/>
      <family val="2"/>
    </font>
    <font>
      <b/>
      <sz val="9"/>
      <name val="Book Antiqua"/>
      <family val="1"/>
    </font>
    <font>
      <sz val="9"/>
      <name val="Book Antiqua"/>
      <family val="1"/>
    </font>
    <font>
      <b/>
      <sz val="14"/>
      <name val="Times New Roman"/>
      <family val="1"/>
    </font>
    <font>
      <b/>
      <sz val="9"/>
      <name val="Tahoma"/>
      <family val="2"/>
    </font>
    <font>
      <sz val="12"/>
      <color indexed="10"/>
      <name val="Book Antiqua"/>
      <family val="1"/>
    </font>
    <font>
      <sz val="12"/>
      <name val="Arial"/>
      <family val="2"/>
    </font>
    <font>
      <sz val="14"/>
      <name val="Times New Roman"/>
      <family val="1"/>
    </font>
    <font>
      <b/>
      <sz val="12"/>
      <name val="Times New Roman"/>
      <family val="1"/>
    </font>
    <font>
      <sz val="11"/>
      <name val="Calibri"/>
      <family val="2"/>
    </font>
    <font>
      <b/>
      <i/>
      <sz val="10"/>
      <name val="Book Antiqua"/>
      <family val="1"/>
    </font>
    <font>
      <b/>
      <i/>
      <sz val="10"/>
      <name val="Arial"/>
      <family val="2"/>
    </font>
    <font>
      <b/>
      <sz val="16"/>
      <name val="Book Antiqua"/>
      <family val="1"/>
    </font>
    <font>
      <b/>
      <sz val="11"/>
      <color indexed="8"/>
      <name val="Times New Roman"/>
      <family val="1"/>
    </font>
    <font>
      <b/>
      <sz val="11"/>
      <name val="Times New Roman"/>
      <family val="1"/>
    </font>
    <font>
      <sz val="11"/>
      <name val="Times New Roman"/>
      <family val="1"/>
    </font>
    <font>
      <b/>
      <u val="single"/>
      <sz val="11"/>
      <name val="Times New Roman"/>
      <family val="1"/>
    </font>
    <font>
      <u val="single"/>
      <sz val="11"/>
      <name val="Times New Roman"/>
      <family val="1"/>
    </font>
    <font>
      <sz val="9"/>
      <name val="Tahoma"/>
      <family val="2"/>
    </font>
    <font>
      <sz val="11"/>
      <color indexed="10"/>
      <name val="Times New Roman"/>
      <family val="1"/>
    </font>
    <font>
      <b/>
      <sz val="12"/>
      <color indexed="63"/>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8"/>
      <name val="Book Antiqua"/>
      <family val="1"/>
    </font>
    <font>
      <b/>
      <sz val="12"/>
      <color indexed="8"/>
      <name val="Arial"/>
      <family val="2"/>
    </font>
    <font>
      <sz val="10"/>
      <color indexed="8"/>
      <name val="Book Antiqua"/>
      <family val="1"/>
    </font>
    <font>
      <sz val="12"/>
      <color indexed="8"/>
      <name val="Book Antiqua"/>
      <family val="1"/>
    </font>
    <font>
      <sz val="11"/>
      <color indexed="12"/>
      <name val="Calibri"/>
      <family val="2"/>
    </font>
    <font>
      <sz val="12"/>
      <color indexed="8"/>
      <name val="Calibri"/>
      <family val="2"/>
    </font>
    <font>
      <sz val="12"/>
      <color indexed="9"/>
      <name val="Book Antiqua"/>
      <family val="1"/>
    </font>
    <font>
      <sz val="12"/>
      <color indexed="9"/>
      <name val="Calibri"/>
      <family val="2"/>
    </font>
    <font>
      <b/>
      <sz val="12"/>
      <color indexed="8"/>
      <name val="Book Antiqua"/>
      <family val="1"/>
    </font>
    <font>
      <b/>
      <sz val="12"/>
      <color indexed="9"/>
      <name val="Book Antiqua"/>
      <family val="1"/>
    </font>
    <font>
      <b/>
      <sz val="14"/>
      <color indexed="8"/>
      <name val="Calibri"/>
      <family val="2"/>
    </font>
    <font>
      <sz val="14"/>
      <color indexed="8"/>
      <name val="Calibri"/>
      <family val="2"/>
    </font>
    <font>
      <b/>
      <sz val="12"/>
      <color indexed="8"/>
      <name val="Calibri"/>
      <family val="2"/>
    </font>
    <font>
      <b/>
      <sz val="11"/>
      <name val="Calibri"/>
      <family val="2"/>
    </font>
    <font>
      <sz val="10"/>
      <color indexed="9"/>
      <name val="Arial"/>
      <family val="2"/>
    </font>
    <font>
      <sz val="10"/>
      <color indexed="26"/>
      <name val="Arial"/>
      <family val="2"/>
    </font>
    <font>
      <sz val="11"/>
      <color indexed="8"/>
      <name val="Times New Roman"/>
      <family val="1"/>
    </font>
    <font>
      <u val="single"/>
      <sz val="11"/>
      <color indexed="8"/>
      <name val="Times New Roman"/>
      <family val="1"/>
    </font>
    <font>
      <b/>
      <sz val="11"/>
      <color indexed="63"/>
      <name val="Times New Roman"/>
      <family val="1"/>
    </font>
    <font>
      <sz val="14"/>
      <color indexed="9"/>
      <name val="Times New Roman"/>
      <family val="1"/>
    </font>
    <font>
      <b/>
      <sz val="14"/>
      <color indexed="9"/>
      <name val="Book Antiqua"/>
      <family val="1"/>
    </font>
    <font>
      <sz val="10"/>
      <color indexed="9"/>
      <name val="Book Antiqua"/>
      <family val="1"/>
    </font>
    <font>
      <b/>
      <sz val="12"/>
      <color indexed="9"/>
      <name val="Calibri"/>
      <family val="2"/>
    </font>
    <font>
      <sz val="14"/>
      <color indexed="9"/>
      <name val="Calibri"/>
      <family val="2"/>
    </font>
    <font>
      <sz val="14"/>
      <color indexed="9"/>
      <name val="Book Antiqua"/>
      <family val="1"/>
    </font>
    <font>
      <b/>
      <sz val="10"/>
      <color indexed="9"/>
      <name val="Book Antiqua"/>
      <family val="1"/>
    </font>
    <font>
      <sz val="11"/>
      <color indexed="60"/>
      <name val="Times New Roman"/>
      <family val="1"/>
    </font>
    <font>
      <b/>
      <sz val="6"/>
      <color indexed="8"/>
      <name val="Times New Roman"/>
      <family val="1"/>
    </font>
    <font>
      <b/>
      <u val="single"/>
      <sz val="11"/>
      <color indexed="8"/>
      <name val="Times New Roman"/>
      <family val="1"/>
    </font>
    <font>
      <b/>
      <u val="double"/>
      <sz val="11"/>
      <color indexed="8"/>
      <name val="Times New Roman"/>
      <family val="1"/>
    </font>
    <font>
      <b/>
      <sz val="12"/>
      <color indexed="8"/>
      <name val="Times New Roman"/>
      <family val="1"/>
    </font>
    <font>
      <b/>
      <sz val="20"/>
      <color indexed="8"/>
      <name val="Calibri"/>
      <family val="2"/>
    </font>
    <font>
      <b/>
      <i/>
      <sz val="11"/>
      <color indexed="8"/>
      <name val="Calibri"/>
      <family val="2"/>
    </font>
    <font>
      <sz val="11"/>
      <color indexed="8"/>
      <name val="Book Antiqua"/>
      <family val="1"/>
    </font>
    <font>
      <sz val="13"/>
      <color indexed="8"/>
      <name val="Times New Roman"/>
      <family val="1"/>
    </font>
    <font>
      <b/>
      <i/>
      <sz val="11"/>
      <color indexed="8"/>
      <name val="Book Antiqua"/>
      <family val="1"/>
    </font>
    <font>
      <sz val="12"/>
      <name val="Calibri"/>
      <family val="2"/>
    </font>
    <font>
      <sz val="11"/>
      <color indexed="9"/>
      <name val="Times New Roman"/>
      <family val="1"/>
    </font>
    <font>
      <b/>
      <sz val="11"/>
      <color indexed="10"/>
      <name val="Calibri"/>
      <family val="2"/>
    </font>
    <font>
      <sz val="14"/>
      <color indexed="8"/>
      <name val="Book Antiqua"/>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1"/>
      <name val="Book Antiqua"/>
      <family val="1"/>
    </font>
    <font>
      <b/>
      <sz val="12"/>
      <color theme="1"/>
      <name val="Arial"/>
      <family val="2"/>
    </font>
    <font>
      <sz val="10"/>
      <color theme="1"/>
      <name val="Book Antiqua"/>
      <family val="1"/>
    </font>
    <font>
      <sz val="12"/>
      <color theme="1"/>
      <name val="Book Antiqua"/>
      <family val="1"/>
    </font>
    <font>
      <sz val="11"/>
      <color theme="10"/>
      <name val="Calibri"/>
      <family val="2"/>
    </font>
    <font>
      <sz val="12"/>
      <color theme="1"/>
      <name val="Calibri"/>
      <family val="2"/>
    </font>
    <font>
      <sz val="12"/>
      <color theme="0"/>
      <name val="Book Antiqua"/>
      <family val="1"/>
    </font>
    <font>
      <sz val="12"/>
      <color theme="0"/>
      <name val="Calibri"/>
      <family val="2"/>
    </font>
    <font>
      <b/>
      <sz val="12"/>
      <color theme="1"/>
      <name val="Book Antiqua"/>
      <family val="1"/>
    </font>
    <font>
      <b/>
      <sz val="12"/>
      <color theme="0"/>
      <name val="Book Antiqua"/>
      <family val="1"/>
    </font>
    <font>
      <b/>
      <sz val="14"/>
      <color theme="1"/>
      <name val="Calibri"/>
      <family val="2"/>
    </font>
    <font>
      <sz val="14"/>
      <color theme="1"/>
      <name val="Calibri"/>
      <family val="2"/>
    </font>
    <font>
      <sz val="12"/>
      <color rgb="FFFF0000"/>
      <name val="Book Antiqua"/>
      <family val="1"/>
    </font>
    <font>
      <b/>
      <sz val="12"/>
      <color theme="1"/>
      <name val="Calibri"/>
      <family val="2"/>
    </font>
    <font>
      <sz val="10"/>
      <color theme="0"/>
      <name val="Arial"/>
      <family val="2"/>
    </font>
    <font>
      <sz val="10"/>
      <color theme="2"/>
      <name val="Arial"/>
      <family val="2"/>
    </font>
    <font>
      <sz val="11"/>
      <color theme="1"/>
      <name val="Times New Roman"/>
      <family val="1"/>
    </font>
    <font>
      <b/>
      <sz val="11"/>
      <color theme="1"/>
      <name val="Times New Roman"/>
      <family val="1"/>
    </font>
    <font>
      <sz val="11"/>
      <color rgb="FFFF0000"/>
      <name val="Times New Roman"/>
      <family val="1"/>
    </font>
    <font>
      <u val="single"/>
      <sz val="11"/>
      <color theme="1"/>
      <name val="Times New Roman"/>
      <family val="1"/>
    </font>
    <font>
      <b/>
      <sz val="11"/>
      <color rgb="FF231F20"/>
      <name val="Times New Roman"/>
      <family val="1"/>
    </font>
    <font>
      <b/>
      <sz val="11"/>
      <color rgb="FF000000"/>
      <name val="Times New Roman"/>
      <family val="1"/>
    </font>
    <font>
      <sz val="14"/>
      <color theme="0"/>
      <name val="Times New Roman"/>
      <family val="1"/>
    </font>
    <font>
      <b/>
      <sz val="14"/>
      <color theme="0"/>
      <name val="Book Antiqua"/>
      <family val="1"/>
    </font>
    <font>
      <sz val="10"/>
      <color theme="0"/>
      <name val="Book Antiqua"/>
      <family val="1"/>
    </font>
    <font>
      <b/>
      <sz val="12"/>
      <color theme="0"/>
      <name val="Calibri"/>
      <family val="2"/>
    </font>
    <font>
      <sz val="14"/>
      <color theme="0"/>
      <name val="Calibri"/>
      <family val="2"/>
    </font>
    <font>
      <sz val="14"/>
      <color theme="0"/>
      <name val="Book Antiqua"/>
      <family val="1"/>
    </font>
    <font>
      <b/>
      <sz val="10"/>
      <color theme="0"/>
      <name val="Book Antiqua"/>
      <family val="1"/>
    </font>
    <font>
      <sz val="11"/>
      <color rgb="FFC00000"/>
      <name val="Times New Roman"/>
      <family val="1"/>
    </font>
    <font>
      <b/>
      <sz val="6"/>
      <color theme="1"/>
      <name val="Times New Roman"/>
      <family val="1"/>
    </font>
    <font>
      <b/>
      <u val="single"/>
      <sz val="11"/>
      <color theme="1"/>
      <name val="Times New Roman"/>
      <family val="1"/>
    </font>
    <font>
      <b/>
      <u val="double"/>
      <sz val="11"/>
      <color theme="1"/>
      <name val="Times New Roman"/>
      <family val="1"/>
    </font>
    <font>
      <b/>
      <sz val="12"/>
      <color theme="1"/>
      <name val="Times New Roman"/>
      <family val="1"/>
    </font>
    <font>
      <sz val="11"/>
      <color rgb="FF000000"/>
      <name val="Times New Roman"/>
      <family val="2"/>
    </font>
    <font>
      <b/>
      <sz val="12"/>
      <color rgb="FF000000"/>
      <name val="Times New Roman"/>
      <family val="1"/>
    </font>
    <font>
      <b/>
      <sz val="20"/>
      <color theme="1"/>
      <name val="Calibri"/>
      <family val="2"/>
    </font>
    <font>
      <b/>
      <i/>
      <sz val="11"/>
      <color theme="1"/>
      <name val="Calibri"/>
      <family val="2"/>
    </font>
    <font>
      <sz val="11"/>
      <color theme="1"/>
      <name val="Book Antiqua"/>
      <family val="1"/>
    </font>
    <font>
      <sz val="13"/>
      <color theme="1"/>
      <name val="Times New Roman"/>
      <family val="1"/>
    </font>
    <font>
      <b/>
      <i/>
      <sz val="11"/>
      <color theme="1"/>
      <name val="Book Antiqua"/>
      <family val="1"/>
    </font>
    <font>
      <sz val="11"/>
      <color theme="0"/>
      <name val="Times New Roman"/>
      <family val="1"/>
    </font>
    <font>
      <b/>
      <sz val="11"/>
      <color rgb="FFFF0000"/>
      <name val="Calibri"/>
      <family val="2"/>
    </font>
    <font>
      <sz val="14"/>
      <color theme="1"/>
      <name val="Book Antiqua"/>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double"/>
    </border>
    <border>
      <left/>
      <right/>
      <top/>
      <bottom style="double"/>
    </border>
    <border>
      <left/>
      <right/>
      <top style="thin"/>
      <bottom style="medium"/>
    </border>
    <border>
      <left/>
      <right/>
      <top/>
      <bottom style="thin"/>
    </border>
    <border>
      <left style="medium"/>
      <right/>
      <top style="medium"/>
      <bottom style="medium"/>
    </border>
    <border>
      <left/>
      <right/>
      <top style="medium"/>
      <bottom style="medium"/>
    </border>
    <border>
      <left/>
      <right style="medium"/>
      <top style="medium"/>
      <bottom style="medium"/>
    </border>
    <border>
      <left/>
      <right/>
      <top/>
      <bottom style="medium"/>
    </border>
    <border>
      <left/>
      <right/>
      <top style="medium"/>
      <bottom style="double"/>
    </border>
    <border>
      <left/>
      <right/>
      <top style="double"/>
      <bottom style="thin"/>
    </border>
    <border>
      <left/>
      <right/>
      <top style="thin"/>
      <bottom/>
    </border>
    <border>
      <left/>
      <right/>
      <top style="double"/>
      <bottom style="medium"/>
    </border>
    <border>
      <left/>
      <right/>
      <top style="medium"/>
      <bottom/>
    </border>
    <border>
      <left style="thin"/>
      <right style="thin"/>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top>
        <color indexed="63"/>
      </top>
      <bottom style="medium"/>
    </border>
    <border>
      <left/>
      <right style="medium"/>
      <top>
        <color indexed="63"/>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border>
    <border>
      <left/>
      <right style="medium"/>
      <top style="thin"/>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5" fillId="20" borderId="0" applyNumberFormat="0" applyBorder="0" applyAlignment="0" applyProtection="0"/>
    <xf numFmtId="0" fontId="96" fillId="21" borderId="1" applyNumberFormat="0" applyAlignment="0" applyProtection="0"/>
    <xf numFmtId="0" fontId="97" fillId="22" borderId="2" applyNumberFormat="0" applyAlignment="0" applyProtection="0"/>
    <xf numFmtId="0" fontId="98" fillId="0" borderId="3" applyNumberFormat="0" applyFill="0" applyAlignment="0" applyProtection="0"/>
    <xf numFmtId="0" fontId="99" fillId="0" borderId="0" applyNumberFormat="0" applyFill="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4" fillId="26" borderId="0" applyNumberFormat="0" applyBorder="0" applyAlignment="0" applyProtection="0"/>
    <xf numFmtId="0" fontId="94" fillId="27" borderId="0" applyNumberFormat="0" applyBorder="0" applyAlignment="0" applyProtection="0"/>
    <xf numFmtId="0" fontId="94" fillId="28" borderId="0" applyNumberFormat="0" applyBorder="0" applyAlignment="0" applyProtection="0"/>
    <xf numFmtId="0" fontId="100" fillId="29" borderId="1"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30" borderId="0" applyNumberFormat="0" applyBorder="0" applyAlignment="0" applyProtection="0"/>
    <xf numFmtId="0" fontId="1" fillId="0" borderId="0" applyFont="0" applyFill="0" applyBorder="0" applyAlignment="0" applyProtection="0"/>
    <xf numFmtId="175" fontId="0" fillId="0" borderId="0" applyFont="0" applyFill="0" applyBorder="0" applyAlignment="0" applyProtection="0"/>
    <xf numFmtId="178" fontId="2" fillId="0" borderId="0" applyFont="0" applyFill="0" applyBorder="0" applyAlignment="0" applyProtection="0"/>
    <xf numFmtId="0" fontId="1"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04" fillId="31" borderId="0" applyNumberFormat="0" applyBorder="0" applyAlignment="0" applyProtection="0"/>
    <xf numFmtId="0" fontId="0" fillId="0" borderId="0">
      <alignment/>
      <protection/>
    </xf>
    <xf numFmtId="0" fontId="2" fillId="0" borderId="0">
      <alignment/>
      <protection/>
    </xf>
    <xf numFmtId="0" fontId="0" fillId="32" borderId="4" applyNumberFormat="0" applyFont="0" applyAlignment="0" applyProtection="0"/>
    <xf numFmtId="0" fontId="1" fillId="32" borderId="4" applyNumberFormat="0" applyFont="0" applyAlignment="0" applyProtection="0"/>
    <xf numFmtId="0" fontId="1" fillId="32" borderId="4" applyNumberFormat="0" applyFont="0" applyAlignment="0" applyProtection="0"/>
    <xf numFmtId="9" fontId="0" fillId="0" borderId="0" applyFont="0" applyFill="0" applyBorder="0" applyAlignment="0" applyProtection="0"/>
    <xf numFmtId="0" fontId="105" fillId="21" borderId="5" applyNumberFormat="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0" borderId="6" applyNumberFormat="0" applyFill="0" applyAlignment="0" applyProtection="0"/>
    <xf numFmtId="0" fontId="110" fillId="0" borderId="7" applyNumberFormat="0" applyFill="0" applyAlignment="0" applyProtection="0"/>
    <xf numFmtId="0" fontId="99" fillId="0" borderId="8" applyNumberFormat="0" applyFill="0" applyAlignment="0" applyProtection="0"/>
    <xf numFmtId="0" fontId="111" fillId="0" borderId="9" applyNumberFormat="0" applyFill="0" applyAlignment="0" applyProtection="0"/>
  </cellStyleXfs>
  <cellXfs count="636">
    <xf numFmtId="0" fontId="0" fillId="0" borderId="0" xfId="0" applyFont="1" applyAlignment="1">
      <alignment/>
    </xf>
    <xf numFmtId="178" fontId="2" fillId="0" borderId="0" xfId="50" applyFont="1" applyAlignment="1">
      <alignment/>
    </xf>
    <xf numFmtId="0" fontId="3" fillId="0" borderId="0" xfId="56" applyFont="1">
      <alignment/>
      <protection/>
    </xf>
    <xf numFmtId="0" fontId="0" fillId="0" borderId="0" xfId="0" applyFill="1" applyAlignment="1">
      <alignment/>
    </xf>
    <xf numFmtId="0" fontId="0" fillId="0" borderId="0" xfId="0" applyAlignment="1">
      <alignment/>
    </xf>
    <xf numFmtId="0" fontId="6" fillId="0" borderId="0" xfId="0" applyFont="1" applyAlignment="1">
      <alignment/>
    </xf>
    <xf numFmtId="0" fontId="6" fillId="0" borderId="0" xfId="48" applyFont="1" applyFill="1" applyAlignment="1">
      <alignment/>
    </xf>
    <xf numFmtId="0" fontId="9" fillId="0" borderId="10" xfId="48" applyFont="1" applyFill="1" applyBorder="1" applyAlignment="1">
      <alignment/>
    </xf>
    <xf numFmtId="0" fontId="0" fillId="0" borderId="0" xfId="0" applyBorder="1" applyAlignment="1">
      <alignment/>
    </xf>
    <xf numFmtId="0" fontId="13" fillId="0" borderId="0" xfId="0" applyFont="1" applyAlignment="1">
      <alignment/>
    </xf>
    <xf numFmtId="0" fontId="8" fillId="0" borderId="0" xfId="48" applyFont="1" applyFill="1" applyAlignment="1">
      <alignment/>
    </xf>
    <xf numFmtId="0" fontId="6" fillId="0" borderId="0" xfId="48" applyFont="1" applyFill="1" applyBorder="1" applyAlignment="1">
      <alignment/>
    </xf>
    <xf numFmtId="0" fontId="6" fillId="0" borderId="0" xfId="0" applyFont="1" applyFill="1" applyAlignment="1">
      <alignment/>
    </xf>
    <xf numFmtId="39" fontId="0" fillId="0" borderId="0" xfId="0" applyNumberFormat="1" applyBorder="1" applyAlignment="1">
      <alignment/>
    </xf>
    <xf numFmtId="39" fontId="5" fillId="0" borderId="11" xfId="0" applyNumberFormat="1" applyFont="1" applyFill="1" applyBorder="1" applyAlignment="1">
      <alignment/>
    </xf>
    <xf numFmtId="179" fontId="5" fillId="0" borderId="10" xfId="0" applyNumberFormat="1" applyFont="1" applyFill="1" applyBorder="1" applyAlignment="1">
      <alignment/>
    </xf>
    <xf numFmtId="39" fontId="6" fillId="0" borderId="0" xfId="0" applyNumberFormat="1" applyFont="1" applyFill="1" applyAlignment="1">
      <alignment/>
    </xf>
    <xf numFmtId="39" fontId="0" fillId="0" borderId="0" xfId="0" applyNumberFormat="1" applyAlignment="1">
      <alignment/>
    </xf>
    <xf numFmtId="0" fontId="8" fillId="0" borderId="10" xfId="48" applyFont="1" applyFill="1" applyBorder="1" applyAlignment="1">
      <alignment/>
    </xf>
    <xf numFmtId="0" fontId="9" fillId="0" borderId="0" xfId="48" applyFont="1" applyFill="1" applyBorder="1" applyAlignment="1">
      <alignment/>
    </xf>
    <xf numFmtId="0" fontId="8" fillId="0" borderId="0" xfId="0" applyFont="1" applyFill="1" applyAlignment="1">
      <alignment horizontal="left"/>
    </xf>
    <xf numFmtId="0" fontId="8" fillId="0" borderId="0" xfId="0" applyFont="1" applyFill="1" applyAlignment="1">
      <alignment horizontal="right"/>
    </xf>
    <xf numFmtId="0" fontId="8" fillId="0" borderId="0" xfId="0" applyFont="1" applyFill="1" applyAlignment="1">
      <alignment horizontal="center"/>
    </xf>
    <xf numFmtId="0" fontId="6" fillId="0" borderId="0" xfId="48" applyFont="1" applyFill="1" applyAlignment="1">
      <alignment horizontal="center"/>
    </xf>
    <xf numFmtId="0" fontId="6" fillId="0" borderId="0" xfId="48" applyFont="1" applyFill="1" applyAlignment="1">
      <alignment/>
    </xf>
    <xf numFmtId="0" fontId="8" fillId="0" borderId="0" xfId="0" applyFont="1" applyFill="1" applyAlignment="1">
      <alignment/>
    </xf>
    <xf numFmtId="0" fontId="8" fillId="0" borderId="12" xfId="48" applyFont="1" applyFill="1" applyBorder="1" applyAlignment="1">
      <alignment horizontal="center"/>
    </xf>
    <xf numFmtId="0" fontId="8" fillId="0" borderId="12" xfId="48" applyFont="1" applyFill="1" applyBorder="1" applyAlignment="1">
      <alignment/>
    </xf>
    <xf numFmtId="0" fontId="8" fillId="0" borderId="0" xfId="48" applyFont="1" applyFill="1" applyBorder="1" applyAlignment="1">
      <alignment/>
    </xf>
    <xf numFmtId="0" fontId="111" fillId="0" borderId="0" xfId="0" applyFont="1" applyAlignment="1">
      <alignment/>
    </xf>
    <xf numFmtId="4" fontId="6" fillId="0" borderId="0" xfId="48" applyNumberFormat="1" applyFont="1" applyFill="1" applyAlignment="1">
      <alignment/>
    </xf>
    <xf numFmtId="0" fontId="6" fillId="0" borderId="0" xfId="55" applyFont="1">
      <alignment/>
      <protection/>
    </xf>
    <xf numFmtId="0" fontId="7" fillId="0" borderId="0" xfId="55" applyFont="1" applyAlignment="1">
      <alignment horizontal="center"/>
      <protection/>
    </xf>
    <xf numFmtId="0" fontId="8" fillId="0" borderId="0" xfId="55" applyFont="1">
      <alignment/>
      <protection/>
    </xf>
    <xf numFmtId="0" fontId="7" fillId="0" borderId="0" xfId="55" applyFont="1">
      <alignment/>
      <protection/>
    </xf>
    <xf numFmtId="39" fontId="0" fillId="0" borderId="13" xfId="0" applyNumberFormat="1" applyBorder="1" applyAlignment="1">
      <alignment/>
    </xf>
    <xf numFmtId="178" fontId="9" fillId="0" borderId="10" xfId="50" applyFont="1" applyBorder="1" applyAlignment="1">
      <alignment/>
    </xf>
    <xf numFmtId="0" fontId="0" fillId="0" borderId="0" xfId="55">
      <alignment/>
      <protection/>
    </xf>
    <xf numFmtId="178" fontId="9" fillId="0" borderId="10" xfId="50" applyFont="1" applyFill="1" applyBorder="1" applyAlignment="1">
      <alignment/>
    </xf>
    <xf numFmtId="0" fontId="9" fillId="0" borderId="10" xfId="55" applyFont="1" applyBorder="1">
      <alignment/>
      <protection/>
    </xf>
    <xf numFmtId="0" fontId="10" fillId="0" borderId="14" xfId="55" applyFont="1" applyBorder="1">
      <alignment/>
      <protection/>
    </xf>
    <xf numFmtId="0" fontId="10" fillId="0" borderId="15" xfId="55" applyFont="1" applyBorder="1">
      <alignment/>
      <protection/>
    </xf>
    <xf numFmtId="39" fontId="112" fillId="0" borderId="11" xfId="0" applyNumberFormat="1" applyFont="1" applyBorder="1" applyAlignment="1">
      <alignment/>
    </xf>
    <xf numFmtId="39" fontId="113" fillId="0" borderId="16" xfId="0" applyNumberFormat="1" applyFont="1" applyBorder="1" applyAlignment="1">
      <alignment/>
    </xf>
    <xf numFmtId="0" fontId="7" fillId="0" borderId="0" xfId="55" applyFont="1" applyAlignment="1">
      <alignment/>
      <protection/>
    </xf>
    <xf numFmtId="0" fontId="7" fillId="0" borderId="10" xfId="48" applyFont="1" applyFill="1" applyBorder="1" applyAlignment="1">
      <alignment/>
    </xf>
    <xf numFmtId="178" fontId="9" fillId="0" borderId="10" xfId="50" applyFont="1" applyBorder="1" applyAlignment="1">
      <alignment horizontal="right"/>
    </xf>
    <xf numFmtId="0" fontId="9" fillId="0" borderId="0" xfId="55" applyFont="1">
      <alignment/>
      <protection/>
    </xf>
    <xf numFmtId="39" fontId="112" fillId="0" borderId="10" xfId="0" applyNumberFormat="1" applyFont="1" applyBorder="1" applyAlignment="1">
      <alignment/>
    </xf>
    <xf numFmtId="39" fontId="114" fillId="0" borderId="0" xfId="0" applyNumberFormat="1" applyFont="1" applyFill="1" applyAlignment="1">
      <alignment/>
    </xf>
    <xf numFmtId="39" fontId="111" fillId="0" borderId="0" xfId="0" applyNumberFormat="1" applyFont="1" applyAlignment="1">
      <alignment/>
    </xf>
    <xf numFmtId="17" fontId="111" fillId="0" borderId="0" xfId="0" applyNumberFormat="1" applyFont="1" applyAlignment="1">
      <alignment horizontal="left"/>
    </xf>
    <xf numFmtId="39" fontId="24" fillId="0" borderId="0" xfId="0" applyNumberFormat="1" applyFont="1" applyAlignment="1">
      <alignment/>
    </xf>
    <xf numFmtId="39" fontId="24" fillId="0" borderId="13" xfId="0" applyNumberFormat="1" applyFont="1" applyBorder="1" applyAlignment="1">
      <alignment/>
    </xf>
    <xf numFmtId="39" fontId="0" fillId="0" borderId="0" xfId="0" applyNumberFormat="1" applyFill="1" applyAlignment="1">
      <alignment/>
    </xf>
    <xf numFmtId="0" fontId="0" fillId="0" borderId="0" xfId="0" applyFill="1" applyBorder="1" applyAlignment="1">
      <alignment/>
    </xf>
    <xf numFmtId="0" fontId="0" fillId="0" borderId="0" xfId="0" applyFill="1" applyBorder="1" applyAlignment="1">
      <alignment/>
    </xf>
    <xf numFmtId="39" fontId="0" fillId="0" borderId="0" xfId="0" applyNumberFormat="1" applyFill="1" applyBorder="1" applyAlignment="1">
      <alignment/>
    </xf>
    <xf numFmtId="0" fontId="0" fillId="0" borderId="17" xfId="0" applyFill="1" applyBorder="1" applyAlignment="1">
      <alignment/>
    </xf>
    <xf numFmtId="178" fontId="9" fillId="0" borderId="10" xfId="50" applyFont="1" applyFill="1" applyBorder="1" applyAlignment="1">
      <alignment horizontal="right"/>
    </xf>
    <xf numFmtId="0" fontId="7" fillId="0" borderId="0" xfId="55" applyFont="1" applyAlignment="1">
      <alignment horizontal="right"/>
      <protection/>
    </xf>
    <xf numFmtId="0" fontId="7" fillId="0" borderId="13" xfId="55" applyFont="1" applyBorder="1" applyAlignment="1">
      <alignment horizontal="center"/>
      <protection/>
    </xf>
    <xf numFmtId="0" fontId="0" fillId="0" borderId="13" xfId="0" applyBorder="1" applyAlignment="1">
      <alignment/>
    </xf>
    <xf numFmtId="0" fontId="13" fillId="0" borderId="0" xfId="0" applyFont="1" applyFill="1" applyAlignment="1">
      <alignment/>
    </xf>
    <xf numFmtId="0" fontId="13" fillId="0" borderId="0" xfId="48" applyFont="1" applyFill="1" applyAlignment="1">
      <alignment/>
    </xf>
    <xf numFmtId="0" fontId="13" fillId="0" borderId="0" xfId="48" applyFont="1" applyFill="1" applyBorder="1" applyAlignment="1">
      <alignment/>
    </xf>
    <xf numFmtId="0" fontId="13" fillId="0" borderId="17" xfId="48" applyFont="1" applyFill="1" applyBorder="1" applyAlignment="1">
      <alignment/>
    </xf>
    <xf numFmtId="0" fontId="13" fillId="0" borderId="13" xfId="48" applyFont="1" applyFill="1" applyBorder="1" applyAlignment="1">
      <alignment/>
    </xf>
    <xf numFmtId="39" fontId="13" fillId="0" borderId="0" xfId="48" applyNumberFormat="1" applyFont="1" applyFill="1" applyAlignment="1">
      <alignment/>
    </xf>
    <xf numFmtId="0" fontId="12" fillId="0" borderId="10" xfId="48" applyFont="1" applyFill="1" applyBorder="1" applyAlignment="1">
      <alignment/>
    </xf>
    <xf numFmtId="39" fontId="13" fillId="0" borderId="0" xfId="0" applyNumberFormat="1" applyFont="1" applyFill="1" applyAlignment="1">
      <alignment/>
    </xf>
    <xf numFmtId="39" fontId="13" fillId="0" borderId="17" xfId="0" applyNumberFormat="1" applyFont="1" applyFill="1" applyBorder="1" applyAlignment="1">
      <alignment/>
    </xf>
    <xf numFmtId="0" fontId="12" fillId="0" borderId="0" xfId="48" applyFont="1" applyFill="1" applyAlignment="1">
      <alignment/>
    </xf>
    <xf numFmtId="0" fontId="115" fillId="0" borderId="17" xfId="48" applyFont="1" applyFill="1" applyBorder="1" applyAlignment="1">
      <alignment/>
    </xf>
    <xf numFmtId="0" fontId="12" fillId="0" borderId="18" xfId="0" applyFont="1" applyFill="1" applyBorder="1" applyAlignment="1">
      <alignment/>
    </xf>
    <xf numFmtId="0" fontId="12" fillId="0" borderId="0" xfId="0" applyFont="1" applyFill="1" applyAlignment="1">
      <alignment/>
    </xf>
    <xf numFmtId="0" fontId="12" fillId="0" borderId="0" xfId="48" applyFont="1" applyFill="1" applyBorder="1" applyAlignment="1">
      <alignment/>
    </xf>
    <xf numFmtId="0" fontId="12" fillId="0" borderId="17" xfId="48" applyFont="1" applyFill="1" applyBorder="1" applyAlignment="1">
      <alignment/>
    </xf>
    <xf numFmtId="39" fontId="115" fillId="0" borderId="0" xfId="0" applyNumberFormat="1" applyFont="1" applyFill="1" applyAlignment="1">
      <alignment/>
    </xf>
    <xf numFmtId="0" fontId="115" fillId="0" borderId="0" xfId="48" applyFont="1" applyFill="1" applyAlignment="1">
      <alignment/>
    </xf>
    <xf numFmtId="0" fontId="22" fillId="0" borderId="0" xfId="56" applyFont="1" applyAlignment="1">
      <alignment horizontal="left"/>
      <protection/>
    </xf>
    <xf numFmtId="39" fontId="24" fillId="0" borderId="0" xfId="55" applyNumberFormat="1" applyFont="1">
      <alignment/>
      <protection/>
    </xf>
    <xf numFmtId="39" fontId="0" fillId="0" borderId="0" xfId="0" applyNumberFormat="1" applyFont="1" applyAlignment="1">
      <alignment/>
    </xf>
    <xf numFmtId="39" fontId="9" fillId="0" borderId="10" xfId="55" applyNumberFormat="1" applyFont="1" applyBorder="1" applyAlignment="1">
      <alignment horizontal="right"/>
      <protection/>
    </xf>
    <xf numFmtId="0" fontId="6" fillId="0" borderId="19" xfId="55" applyFont="1" applyBorder="1">
      <alignment/>
      <protection/>
    </xf>
    <xf numFmtId="0" fontId="9" fillId="0" borderId="0" xfId="55" applyFont="1" applyBorder="1">
      <alignment/>
      <protection/>
    </xf>
    <xf numFmtId="39" fontId="9" fillId="0" borderId="11" xfId="55" applyNumberFormat="1" applyFont="1" applyBorder="1" applyAlignment="1">
      <alignment horizontal="right"/>
      <protection/>
    </xf>
    <xf numFmtId="178" fontId="9" fillId="0" borderId="19" xfId="50" applyFont="1" applyBorder="1" applyAlignment="1">
      <alignment/>
    </xf>
    <xf numFmtId="39" fontId="115" fillId="0" borderId="13" xfId="0" applyNumberFormat="1" applyFont="1" applyFill="1" applyBorder="1" applyAlignment="1">
      <alignment/>
    </xf>
    <xf numFmtId="39" fontId="115" fillId="0" borderId="17" xfId="0" applyNumberFormat="1" applyFont="1" applyFill="1" applyBorder="1" applyAlignment="1">
      <alignment/>
    </xf>
    <xf numFmtId="39" fontId="2" fillId="0" borderId="0" xfId="0" applyNumberFormat="1" applyFont="1" applyFill="1" applyAlignment="1">
      <alignment/>
    </xf>
    <xf numFmtId="39" fontId="115" fillId="0" borderId="0" xfId="0" applyNumberFormat="1" applyFont="1" applyFill="1" applyBorder="1" applyAlignment="1">
      <alignment/>
    </xf>
    <xf numFmtId="0" fontId="116" fillId="0" borderId="0" xfId="45" applyFont="1" applyAlignment="1">
      <alignment/>
    </xf>
    <xf numFmtId="39" fontId="0" fillId="0" borderId="0" xfId="0" applyNumberFormat="1" applyFont="1" applyBorder="1" applyAlignment="1">
      <alignment/>
    </xf>
    <xf numFmtId="0" fontId="6" fillId="0" borderId="13" xfId="55" applyFont="1" applyBorder="1">
      <alignment/>
      <protection/>
    </xf>
    <xf numFmtId="0" fontId="8" fillId="0" borderId="0" xfId="0" applyFont="1" applyFill="1" applyBorder="1" applyAlignment="1">
      <alignment/>
    </xf>
    <xf numFmtId="39" fontId="6" fillId="0" borderId="17" xfId="0" applyNumberFormat="1" applyFont="1" applyFill="1" applyBorder="1" applyAlignment="1">
      <alignment/>
    </xf>
    <xf numFmtId="39" fontId="8" fillId="0" borderId="0" xfId="0" applyNumberFormat="1" applyFont="1" applyFill="1" applyAlignment="1">
      <alignment/>
    </xf>
    <xf numFmtId="39" fontId="8" fillId="0" borderId="13" xfId="0" applyNumberFormat="1" applyFont="1" applyFill="1" applyBorder="1" applyAlignment="1">
      <alignment/>
    </xf>
    <xf numFmtId="39" fontId="24" fillId="0" borderId="0" xfId="0" applyNumberFormat="1" applyFont="1" applyBorder="1" applyAlignment="1">
      <alignment/>
    </xf>
    <xf numFmtId="0" fontId="5" fillId="0" borderId="0" xfId="0" applyFont="1" applyFill="1" applyAlignment="1">
      <alignment/>
    </xf>
    <xf numFmtId="0" fontId="2" fillId="0" borderId="0" xfId="0" applyFont="1" applyFill="1" applyAlignment="1">
      <alignment/>
    </xf>
    <xf numFmtId="0" fontId="111" fillId="0" borderId="0" xfId="0" applyFont="1" applyFill="1" applyAlignment="1">
      <alignment/>
    </xf>
    <xf numFmtId="0" fontId="2" fillId="0" borderId="0" xfId="0" applyFont="1" applyFill="1" applyAlignment="1">
      <alignment/>
    </xf>
    <xf numFmtId="39" fontId="2" fillId="0" borderId="13" xfId="0" applyNumberFormat="1" applyFont="1" applyFill="1" applyBorder="1" applyAlignment="1">
      <alignment/>
    </xf>
    <xf numFmtId="39" fontId="5" fillId="0" borderId="10" xfId="0" applyNumberFormat="1" applyFont="1" applyFill="1" applyBorder="1" applyAlignment="1">
      <alignment/>
    </xf>
    <xf numFmtId="39" fontId="5" fillId="0" borderId="0" xfId="0" applyNumberFormat="1" applyFont="1" applyFill="1" applyAlignment="1">
      <alignment/>
    </xf>
    <xf numFmtId="179" fontId="2" fillId="0" borderId="0" xfId="0" applyNumberFormat="1" applyFont="1" applyFill="1" applyAlignment="1">
      <alignment/>
    </xf>
    <xf numFmtId="179" fontId="5" fillId="0" borderId="11" xfId="0" applyNumberFormat="1" applyFont="1" applyFill="1" applyBorder="1" applyAlignment="1">
      <alignment/>
    </xf>
    <xf numFmtId="0" fontId="24" fillId="0" borderId="0" xfId="0" applyFont="1" applyFill="1" applyAlignment="1">
      <alignment/>
    </xf>
    <xf numFmtId="4" fontId="5" fillId="0" borderId="0" xfId="0" applyNumberFormat="1" applyFont="1" applyFill="1" applyAlignment="1">
      <alignment/>
    </xf>
    <xf numFmtId="0" fontId="11" fillId="0" borderId="0" xfId="0" applyFont="1" applyFill="1" applyAlignment="1">
      <alignment horizontal="left"/>
    </xf>
    <xf numFmtId="0" fontId="0" fillId="0" borderId="0" xfId="0" applyFill="1" applyAlignment="1">
      <alignment horizontal="left"/>
    </xf>
    <xf numFmtId="0" fontId="7" fillId="0" borderId="0" xfId="0" applyFont="1" applyFill="1" applyAlignment="1">
      <alignment/>
    </xf>
    <xf numFmtId="0" fontId="7" fillId="0" borderId="0" xfId="0" applyFont="1" applyFill="1" applyAlignment="1">
      <alignment horizontal="center"/>
    </xf>
    <xf numFmtId="0" fontId="116" fillId="0" borderId="0" xfId="45" applyFont="1" applyFill="1" applyAlignment="1">
      <alignment/>
    </xf>
    <xf numFmtId="0" fontId="117" fillId="0" borderId="0" xfId="0" applyFont="1" applyFill="1" applyAlignment="1">
      <alignment/>
    </xf>
    <xf numFmtId="39" fontId="13" fillId="0" borderId="0" xfId="0" applyNumberFormat="1" applyFont="1" applyFill="1" applyAlignment="1">
      <alignment horizontal="right"/>
    </xf>
    <xf numFmtId="39" fontId="118" fillId="0" borderId="0" xfId="0" applyNumberFormat="1" applyFont="1" applyFill="1" applyAlignment="1">
      <alignment/>
    </xf>
    <xf numFmtId="0" fontId="119" fillId="0" borderId="0" xfId="0" applyFont="1" applyFill="1" applyAlignment="1">
      <alignment/>
    </xf>
    <xf numFmtId="39" fontId="117" fillId="0" borderId="0" xfId="0" applyNumberFormat="1" applyFont="1" applyFill="1" applyAlignment="1">
      <alignment/>
    </xf>
    <xf numFmtId="39" fontId="118" fillId="0" borderId="0" xfId="0" applyNumberFormat="1" applyFont="1" applyFill="1" applyAlignment="1">
      <alignment horizontal="right"/>
    </xf>
    <xf numFmtId="39" fontId="118" fillId="0" borderId="0" xfId="0" applyNumberFormat="1" applyFont="1" applyFill="1" applyBorder="1" applyAlignment="1">
      <alignment horizontal="right"/>
    </xf>
    <xf numFmtId="0" fontId="119" fillId="0" borderId="0" xfId="0" applyFont="1" applyFill="1" applyBorder="1" applyAlignment="1">
      <alignment/>
    </xf>
    <xf numFmtId="39" fontId="13" fillId="0" borderId="13" xfId="0" applyNumberFormat="1" applyFont="1" applyFill="1" applyBorder="1" applyAlignment="1">
      <alignment horizontal="right"/>
    </xf>
    <xf numFmtId="0" fontId="117" fillId="0" borderId="13" xfId="0" applyFont="1" applyFill="1" applyBorder="1" applyAlignment="1">
      <alignment/>
    </xf>
    <xf numFmtId="39" fontId="119" fillId="0" borderId="0" xfId="0" applyNumberFormat="1" applyFont="1" applyFill="1" applyBorder="1" applyAlignment="1">
      <alignment/>
    </xf>
    <xf numFmtId="39" fontId="120" fillId="0" borderId="0" xfId="0" applyNumberFormat="1" applyFont="1" applyFill="1" applyAlignment="1">
      <alignment/>
    </xf>
    <xf numFmtId="39" fontId="121" fillId="0" borderId="0" xfId="0" applyNumberFormat="1" applyFont="1" applyFill="1" applyAlignment="1">
      <alignment/>
    </xf>
    <xf numFmtId="0" fontId="94" fillId="0" borderId="0" xfId="0" applyFont="1" applyFill="1" applyAlignment="1">
      <alignment/>
    </xf>
    <xf numFmtId="0" fontId="7" fillId="0" borderId="0" xfId="48" applyFont="1" applyFill="1" applyAlignment="1">
      <alignment horizontal="center"/>
    </xf>
    <xf numFmtId="0" fontId="122" fillId="0" borderId="0" xfId="0" applyFont="1" applyFill="1" applyAlignment="1">
      <alignment horizontal="center"/>
    </xf>
    <xf numFmtId="0" fontId="117" fillId="0" borderId="0" xfId="0" applyFont="1" applyFill="1" applyAlignment="1">
      <alignment/>
    </xf>
    <xf numFmtId="0" fontId="20" fillId="0" borderId="0" xfId="48" applyFont="1" applyFill="1" applyBorder="1" applyAlignment="1">
      <alignment/>
    </xf>
    <xf numFmtId="0" fontId="12" fillId="0" borderId="11" xfId="48" applyFont="1" applyFill="1" applyBorder="1" applyAlignment="1">
      <alignment/>
    </xf>
    <xf numFmtId="0" fontId="14" fillId="0" borderId="0" xfId="0" applyFont="1" applyFill="1" applyAlignment="1">
      <alignment/>
    </xf>
    <xf numFmtId="0" fontId="14" fillId="0" borderId="0" xfId="48" applyFont="1" applyFill="1" applyAlignment="1">
      <alignment/>
    </xf>
    <xf numFmtId="0" fontId="123" fillId="0" borderId="0" xfId="0" applyFont="1" applyFill="1" applyAlignment="1">
      <alignment/>
    </xf>
    <xf numFmtId="0" fontId="12" fillId="0" borderId="0" xfId="0" applyFont="1" applyFill="1" applyBorder="1" applyAlignment="1">
      <alignment/>
    </xf>
    <xf numFmtId="0" fontId="12" fillId="0" borderId="10" xfId="0" applyFont="1" applyFill="1" applyBorder="1" applyAlignment="1">
      <alignment/>
    </xf>
    <xf numFmtId="0" fontId="8" fillId="0" borderId="0" xfId="48" applyFont="1" applyFill="1" applyBorder="1" applyAlignment="1">
      <alignment/>
    </xf>
    <xf numFmtId="0" fontId="7" fillId="0" borderId="0" xfId="48" applyFont="1" applyFill="1" applyBorder="1" applyAlignment="1">
      <alignment/>
    </xf>
    <xf numFmtId="39" fontId="117" fillId="0" borderId="17" xfId="0" applyNumberFormat="1" applyFont="1" applyFill="1" applyBorder="1" applyAlignment="1">
      <alignment/>
    </xf>
    <xf numFmtId="180" fontId="120" fillId="0" borderId="0" xfId="0" applyNumberFormat="1" applyFont="1" applyFill="1" applyAlignment="1">
      <alignment/>
    </xf>
    <xf numFmtId="39" fontId="124" fillId="0" borderId="0" xfId="0" applyNumberFormat="1" applyFont="1" applyFill="1" applyAlignment="1">
      <alignment/>
    </xf>
    <xf numFmtId="4" fontId="117" fillId="0" borderId="0" xfId="0" applyNumberFormat="1" applyFont="1" applyFill="1" applyAlignment="1">
      <alignment/>
    </xf>
    <xf numFmtId="39" fontId="125" fillId="0" borderId="0" xfId="0" applyNumberFormat="1" applyFont="1" applyFill="1" applyAlignment="1">
      <alignment/>
    </xf>
    <xf numFmtId="0" fontId="117" fillId="0" borderId="17" xfId="0" applyFont="1" applyFill="1" applyBorder="1" applyAlignment="1">
      <alignment/>
    </xf>
    <xf numFmtId="0" fontId="15" fillId="0" borderId="0" xfId="0" applyFont="1" applyFill="1" applyAlignment="1">
      <alignment/>
    </xf>
    <xf numFmtId="0" fontId="3" fillId="0" borderId="0" xfId="0" applyFont="1" applyFill="1" applyAlignment="1">
      <alignment/>
    </xf>
    <xf numFmtId="0" fontId="16" fillId="0" borderId="0" xfId="0" applyFont="1" applyFill="1" applyAlignment="1">
      <alignment horizontal="left"/>
    </xf>
    <xf numFmtId="0" fontId="3" fillId="0" borderId="0" xfId="0" applyFont="1" applyFill="1" applyAlignment="1">
      <alignment horizontal="left"/>
    </xf>
    <xf numFmtId="0" fontId="17" fillId="0" borderId="0" xfId="0" applyFont="1" applyFill="1" applyAlignment="1">
      <alignment/>
    </xf>
    <xf numFmtId="0" fontId="21" fillId="0" borderId="0" xfId="0" applyFont="1" applyFill="1" applyAlignment="1">
      <alignment/>
    </xf>
    <xf numFmtId="39" fontId="12" fillId="0" borderId="0" xfId="0" applyNumberFormat="1" applyFont="1" applyFill="1" applyAlignment="1">
      <alignment/>
    </xf>
    <xf numFmtId="39" fontId="12" fillId="0" borderId="18" xfId="0" applyNumberFormat="1" applyFont="1" applyFill="1" applyBorder="1" applyAlignment="1">
      <alignment/>
    </xf>
    <xf numFmtId="0" fontId="6" fillId="0" borderId="20" xfId="48" applyFont="1" applyFill="1" applyBorder="1" applyAlignment="1">
      <alignment/>
    </xf>
    <xf numFmtId="0" fontId="7" fillId="0" borderId="0" xfId="0" applyFont="1" applyFill="1" applyBorder="1" applyAlignment="1">
      <alignment/>
    </xf>
    <xf numFmtId="0" fontId="12" fillId="0" borderId="20" xfId="0" applyFont="1" applyFill="1" applyBorder="1" applyAlignment="1">
      <alignment/>
    </xf>
    <xf numFmtId="0" fontId="2" fillId="0" borderId="0" xfId="0" applyFont="1" applyFill="1" applyAlignment="1">
      <alignment horizontal="left"/>
    </xf>
    <xf numFmtId="0" fontId="6" fillId="0" borderId="0" xfId="0" applyFont="1" applyFill="1" applyBorder="1" applyAlignment="1">
      <alignment/>
    </xf>
    <xf numFmtId="0" fontId="0" fillId="0" borderId="21" xfId="0" applyFill="1" applyBorder="1" applyAlignment="1">
      <alignment/>
    </xf>
    <xf numFmtId="0" fontId="5" fillId="0" borderId="0" xfId="48" applyFont="1" applyFill="1" applyAlignment="1">
      <alignment/>
    </xf>
    <xf numFmtId="0" fontId="0" fillId="0" borderId="0" xfId="48" applyFont="1" applyFill="1" applyAlignment="1">
      <alignment/>
    </xf>
    <xf numFmtId="0" fontId="10" fillId="0" borderId="0" xfId="0" applyFont="1" applyFill="1" applyAlignment="1">
      <alignment/>
    </xf>
    <xf numFmtId="0" fontId="6" fillId="0" borderId="0" xfId="0" applyFont="1" applyFill="1" applyAlignment="1">
      <alignment horizontal="center"/>
    </xf>
    <xf numFmtId="39" fontId="6" fillId="0" borderId="0" xfId="0" applyNumberFormat="1" applyFont="1" applyFill="1" applyAlignment="1">
      <alignment/>
    </xf>
    <xf numFmtId="39" fontId="6" fillId="0" borderId="0" xfId="0" applyNumberFormat="1" applyFont="1" applyFill="1" applyAlignment="1">
      <alignment horizontal="right"/>
    </xf>
    <xf numFmtId="39" fontId="6" fillId="0" borderId="0" xfId="48" applyNumberFormat="1" applyFont="1" applyFill="1" applyAlignment="1">
      <alignment horizontal="right"/>
    </xf>
    <xf numFmtId="0" fontId="6" fillId="0" borderId="0" xfId="48" applyFont="1" applyFill="1" applyAlignment="1">
      <alignment horizontal="right"/>
    </xf>
    <xf numFmtId="0" fontId="6" fillId="0" borderId="0" xfId="48" applyFont="1" applyFill="1" applyBorder="1" applyAlignment="1">
      <alignment horizontal="right"/>
    </xf>
    <xf numFmtId="4" fontId="0" fillId="0" borderId="0" xfId="0" applyNumberFormat="1" applyFill="1" applyAlignment="1">
      <alignment/>
    </xf>
    <xf numFmtId="0" fontId="0" fillId="0" borderId="0" xfId="0" applyFill="1" applyAlignment="1">
      <alignment/>
    </xf>
    <xf numFmtId="0" fontId="106" fillId="0" borderId="0" xfId="0" applyFont="1" applyFill="1" applyAlignment="1">
      <alignment/>
    </xf>
    <xf numFmtId="39" fontId="94" fillId="0" borderId="0" xfId="0" applyNumberFormat="1" applyFont="1" applyAlignment="1">
      <alignment/>
    </xf>
    <xf numFmtId="181" fontId="125" fillId="0" borderId="10" xfId="0" applyNumberFormat="1" applyFont="1" applyFill="1" applyBorder="1" applyAlignment="1">
      <alignment/>
    </xf>
    <xf numFmtId="49" fontId="12" fillId="0" borderId="0" xfId="0" applyNumberFormat="1" applyFont="1" applyFill="1" applyAlignment="1">
      <alignment vertical="center"/>
    </xf>
    <xf numFmtId="49" fontId="6" fillId="0" borderId="0" xfId="0" applyNumberFormat="1" applyFont="1" applyFill="1" applyAlignment="1">
      <alignment vertical="center"/>
    </xf>
    <xf numFmtId="49" fontId="6" fillId="0" borderId="0" xfId="0" applyNumberFormat="1" applyFont="1" applyFill="1" applyAlignment="1">
      <alignment/>
    </xf>
    <xf numFmtId="49" fontId="6" fillId="0" borderId="0" xfId="48" applyNumberFormat="1" applyFont="1" applyFill="1" applyAlignment="1">
      <alignment/>
    </xf>
    <xf numFmtId="49" fontId="0" fillId="0" borderId="0" xfId="0" applyNumberFormat="1" applyFill="1" applyAlignment="1">
      <alignment/>
    </xf>
    <xf numFmtId="49" fontId="13" fillId="0" borderId="0" xfId="0" applyNumberFormat="1" applyFont="1" applyFill="1" applyAlignment="1">
      <alignment vertical="center"/>
    </xf>
    <xf numFmtId="49" fontId="13" fillId="0" borderId="0" xfId="0" applyNumberFormat="1" applyFont="1" applyFill="1" applyAlignment="1">
      <alignment/>
    </xf>
    <xf numFmtId="49" fontId="13" fillId="0" borderId="0" xfId="48" applyNumberFormat="1" applyFont="1" applyFill="1" applyAlignment="1">
      <alignment/>
    </xf>
    <xf numFmtId="49" fontId="117" fillId="0" borderId="0" xfId="0" applyNumberFormat="1" applyFont="1" applyFill="1" applyAlignment="1">
      <alignment/>
    </xf>
    <xf numFmtId="49" fontId="12" fillId="0" borderId="0" xfId="0" applyNumberFormat="1" applyFont="1" applyFill="1" applyAlignment="1">
      <alignment/>
    </xf>
    <xf numFmtId="0" fontId="27" fillId="0" borderId="0" xfId="0" applyFont="1" applyFill="1" applyAlignment="1">
      <alignment/>
    </xf>
    <xf numFmtId="39" fontId="13" fillId="0" borderId="0" xfId="0" applyNumberFormat="1" applyFont="1" applyFill="1" applyBorder="1" applyAlignment="1">
      <alignment/>
    </xf>
    <xf numFmtId="39" fontId="125" fillId="0" borderId="22" xfId="0" applyNumberFormat="1" applyFont="1" applyFill="1" applyBorder="1" applyAlignment="1">
      <alignment/>
    </xf>
    <xf numFmtId="0" fontId="67" fillId="0" borderId="0" xfId="0" applyFont="1" applyFill="1" applyAlignment="1">
      <alignment horizontal="center"/>
    </xf>
    <xf numFmtId="39" fontId="2" fillId="0" borderId="0" xfId="0" applyNumberFormat="1" applyFont="1" applyFill="1" applyAlignment="1">
      <alignment horizontal="right"/>
    </xf>
    <xf numFmtId="179" fontId="2" fillId="0" borderId="0" xfId="0" applyNumberFormat="1" applyFont="1" applyFill="1" applyBorder="1" applyAlignment="1">
      <alignment/>
    </xf>
    <xf numFmtId="0" fontId="2" fillId="0" borderId="0" xfId="0" applyFont="1" applyFill="1" applyBorder="1" applyAlignment="1">
      <alignment/>
    </xf>
    <xf numFmtId="4" fontId="2" fillId="0" borderId="0" xfId="0" applyNumberFormat="1" applyFont="1" applyFill="1" applyBorder="1" applyAlignment="1">
      <alignment/>
    </xf>
    <xf numFmtId="0" fontId="94" fillId="0" borderId="0" xfId="0" applyFont="1" applyAlignment="1">
      <alignment/>
    </xf>
    <xf numFmtId="173" fontId="2" fillId="0" borderId="0" xfId="0" applyNumberFormat="1" applyFont="1" applyFill="1" applyAlignment="1">
      <alignment/>
    </xf>
    <xf numFmtId="0" fontId="67" fillId="0" borderId="0" xfId="0" applyFont="1" applyFill="1" applyAlignment="1">
      <alignment/>
    </xf>
    <xf numFmtId="181" fontId="24" fillId="0" borderId="0" xfId="0" applyNumberFormat="1" applyFont="1" applyFill="1" applyAlignment="1">
      <alignment/>
    </xf>
    <xf numFmtId="173" fontId="24" fillId="0" borderId="0" xfId="0" applyNumberFormat="1" applyFont="1" applyFill="1" applyAlignment="1">
      <alignment/>
    </xf>
    <xf numFmtId="179" fontId="2" fillId="0" borderId="0" xfId="0" applyNumberFormat="1" applyFont="1" applyFill="1" applyAlignment="1">
      <alignment horizontal="right"/>
    </xf>
    <xf numFmtId="179" fontId="2" fillId="0" borderId="13" xfId="0" applyNumberFormat="1" applyFont="1" applyFill="1" applyBorder="1" applyAlignment="1">
      <alignment/>
    </xf>
    <xf numFmtId="0" fontId="2" fillId="0" borderId="13" xfId="0" applyFont="1" applyFill="1" applyBorder="1" applyAlignment="1">
      <alignment/>
    </xf>
    <xf numFmtId="4" fontId="2" fillId="0" borderId="13" xfId="0" applyNumberFormat="1" applyFont="1" applyFill="1" applyBorder="1" applyAlignment="1">
      <alignment/>
    </xf>
    <xf numFmtId="39" fontId="24" fillId="0" borderId="0" xfId="0" applyNumberFormat="1" applyFont="1" applyFill="1" applyAlignment="1">
      <alignment/>
    </xf>
    <xf numFmtId="39" fontId="115" fillId="0" borderId="0" xfId="0" applyNumberFormat="1" applyFont="1" applyFill="1" applyAlignment="1">
      <alignment/>
    </xf>
    <xf numFmtId="4" fontId="12" fillId="0" borderId="10" xfId="48" applyNumberFormat="1" applyFont="1" applyFill="1" applyBorder="1" applyAlignment="1">
      <alignment/>
    </xf>
    <xf numFmtId="4" fontId="24" fillId="0" borderId="0" xfId="0" applyNumberFormat="1" applyFont="1" applyFill="1" applyAlignment="1">
      <alignment/>
    </xf>
    <xf numFmtId="181" fontId="12" fillId="0" borderId="18" xfId="0" applyNumberFormat="1" applyFont="1" applyFill="1" applyBorder="1" applyAlignment="1">
      <alignment/>
    </xf>
    <xf numFmtId="4" fontId="106" fillId="0" borderId="0" xfId="0" applyNumberFormat="1" applyFont="1" applyFill="1" applyAlignment="1">
      <alignment/>
    </xf>
    <xf numFmtId="181" fontId="0" fillId="0" borderId="0" xfId="0" applyNumberFormat="1" applyAlignment="1">
      <alignment/>
    </xf>
    <xf numFmtId="4" fontId="12" fillId="0" borderId="0" xfId="48" applyNumberFormat="1" applyFont="1" applyFill="1" applyAlignment="1">
      <alignment/>
    </xf>
    <xf numFmtId="4" fontId="7" fillId="0" borderId="10" xfId="48" applyNumberFormat="1" applyFont="1" applyFill="1" applyBorder="1" applyAlignment="1">
      <alignment/>
    </xf>
    <xf numFmtId="39" fontId="7" fillId="0" borderId="10" xfId="48" applyNumberFormat="1" applyFont="1" applyFill="1" applyBorder="1" applyAlignment="1">
      <alignment/>
    </xf>
    <xf numFmtId="39" fontId="9" fillId="0" borderId="10" xfId="55" applyNumberFormat="1" applyFont="1" applyBorder="1">
      <alignment/>
      <protection/>
    </xf>
    <xf numFmtId="4" fontId="12" fillId="0" borderId="10" xfId="0" applyNumberFormat="1" applyFont="1" applyFill="1" applyBorder="1" applyAlignment="1">
      <alignment/>
    </xf>
    <xf numFmtId="39" fontId="12" fillId="0" borderId="0" xfId="48" applyNumberFormat="1" applyFont="1" applyFill="1" applyAlignment="1">
      <alignment/>
    </xf>
    <xf numFmtId="181" fontId="12" fillId="0" borderId="0" xfId="48" applyNumberFormat="1" applyFont="1" applyFill="1" applyAlignment="1">
      <alignment/>
    </xf>
    <xf numFmtId="4" fontId="12" fillId="0" borderId="11" xfId="48" applyNumberFormat="1" applyFont="1" applyFill="1" applyBorder="1" applyAlignment="1">
      <alignment/>
    </xf>
    <xf numFmtId="173" fontId="126" fillId="0" borderId="0" xfId="0" applyNumberFormat="1" applyFont="1" applyFill="1" applyAlignment="1">
      <alignment/>
    </xf>
    <xf numFmtId="181" fontId="10" fillId="0" borderId="15" xfId="55" applyNumberFormat="1" applyFont="1" applyBorder="1">
      <alignment/>
      <protection/>
    </xf>
    <xf numFmtId="181" fontId="10" fillId="0" borderId="16" xfId="55" applyNumberFormat="1" applyFont="1" applyBorder="1">
      <alignment/>
      <protection/>
    </xf>
    <xf numFmtId="4" fontId="5" fillId="0" borderId="14" xfId="0" applyNumberFormat="1" applyFont="1" applyFill="1" applyBorder="1" applyAlignment="1">
      <alignment/>
    </xf>
    <xf numFmtId="4" fontId="5" fillId="0" borderId="16" xfId="0" applyNumberFormat="1" applyFont="1" applyFill="1" applyBorder="1" applyAlignment="1">
      <alignment/>
    </xf>
    <xf numFmtId="8" fontId="12" fillId="0" borderId="0" xfId="0" applyNumberFormat="1" applyFont="1" applyFill="1" applyAlignment="1">
      <alignment/>
    </xf>
    <xf numFmtId="0" fontId="111" fillId="0" borderId="13" xfId="0" applyFont="1" applyFill="1" applyBorder="1" applyAlignment="1">
      <alignment horizontal="center"/>
    </xf>
    <xf numFmtId="0" fontId="111" fillId="0" borderId="13" xfId="0" applyFont="1" applyFill="1" applyBorder="1" applyAlignment="1">
      <alignment/>
    </xf>
    <xf numFmtId="180" fontId="115" fillId="0" borderId="0" xfId="0" applyNumberFormat="1" applyFont="1" applyFill="1" applyAlignment="1">
      <alignment/>
    </xf>
    <xf numFmtId="187" fontId="0" fillId="0" borderId="0" xfId="0" applyNumberFormat="1" applyAlignment="1">
      <alignment/>
    </xf>
    <xf numFmtId="39" fontId="24" fillId="0" borderId="13" xfId="0" applyNumberFormat="1" applyFont="1" applyBorder="1" applyAlignment="1">
      <alignment/>
    </xf>
    <xf numFmtId="39" fontId="24" fillId="0" borderId="0" xfId="0" applyNumberFormat="1" applyFont="1" applyAlignment="1">
      <alignment/>
    </xf>
    <xf numFmtId="39" fontId="115" fillId="0" borderId="0" xfId="0" applyNumberFormat="1" applyFont="1" applyFill="1" applyAlignment="1">
      <alignment/>
    </xf>
    <xf numFmtId="0" fontId="67" fillId="0" borderId="0" xfId="45" applyFont="1" applyAlignment="1">
      <alignment/>
    </xf>
    <xf numFmtId="173" fontId="127" fillId="0" borderId="0" xfId="0" applyNumberFormat="1" applyFont="1" applyFill="1" applyAlignment="1">
      <alignment/>
    </xf>
    <xf numFmtId="39" fontId="2" fillId="0" borderId="13" xfId="0" applyNumberFormat="1" applyFont="1" applyFill="1" applyBorder="1" applyAlignment="1">
      <alignment horizontal="right"/>
    </xf>
    <xf numFmtId="39" fontId="6" fillId="0" borderId="0" xfId="0" applyNumberFormat="1" applyFont="1" applyFill="1" applyBorder="1" applyAlignment="1">
      <alignment/>
    </xf>
    <xf numFmtId="0" fontId="128" fillId="0" borderId="0" xfId="0" applyFont="1" applyAlignment="1">
      <alignment vertical="center"/>
    </xf>
    <xf numFmtId="0" fontId="0" fillId="0" borderId="0" xfId="0" applyAlignment="1">
      <alignment vertical="center"/>
    </xf>
    <xf numFmtId="41" fontId="128" fillId="0" borderId="0" xfId="0" applyNumberFormat="1" applyFont="1" applyAlignment="1">
      <alignment vertical="center"/>
    </xf>
    <xf numFmtId="37" fontId="128" fillId="0" borderId="0" xfId="0" applyNumberFormat="1" applyFont="1" applyAlignment="1">
      <alignment vertical="center"/>
    </xf>
    <xf numFmtId="0" fontId="128" fillId="0" borderId="0" xfId="0" applyFont="1" applyAlignment="1">
      <alignment/>
    </xf>
    <xf numFmtId="0" fontId="128" fillId="0" borderId="0" xfId="0" applyFont="1" applyFill="1" applyAlignment="1">
      <alignment vertical="center"/>
    </xf>
    <xf numFmtId="0" fontId="128" fillId="0" borderId="0" xfId="0" applyFont="1" applyFill="1" applyAlignment="1">
      <alignment/>
    </xf>
    <xf numFmtId="0" fontId="129" fillId="0" borderId="0" xfId="0" applyFont="1" applyAlignment="1">
      <alignment horizontal="left" vertical="center"/>
    </xf>
    <xf numFmtId="43" fontId="128" fillId="0" borderId="0" xfId="0" applyNumberFormat="1" applyFont="1" applyAlignment="1">
      <alignment vertical="center"/>
    </xf>
    <xf numFmtId="41" fontId="128" fillId="0" borderId="0" xfId="0" applyNumberFormat="1" applyFont="1" applyFill="1" applyAlignment="1">
      <alignment vertical="center"/>
    </xf>
    <xf numFmtId="37" fontId="128" fillId="0" borderId="0" xfId="0" applyNumberFormat="1" applyFont="1" applyFill="1" applyAlignment="1">
      <alignment vertical="center"/>
    </xf>
    <xf numFmtId="41" fontId="128" fillId="0" borderId="0" xfId="0" applyNumberFormat="1" applyFont="1" applyFill="1" applyAlignment="1">
      <alignment/>
    </xf>
    <xf numFmtId="37" fontId="128" fillId="0" borderId="0" xfId="0" applyNumberFormat="1" applyFont="1" applyFill="1" applyAlignment="1">
      <alignment/>
    </xf>
    <xf numFmtId="0" fontId="130" fillId="0" borderId="0" xfId="0" applyFont="1" applyFill="1" applyAlignment="1">
      <alignment/>
    </xf>
    <xf numFmtId="0" fontId="131" fillId="0" borderId="0" xfId="0" applyFont="1" applyFill="1" applyAlignment="1">
      <alignment horizontal="left" vertical="center" indent="5"/>
    </xf>
    <xf numFmtId="0" fontId="128" fillId="0" borderId="0" xfId="0" applyFont="1" applyFill="1" applyBorder="1" applyAlignment="1">
      <alignment/>
    </xf>
    <xf numFmtId="0" fontId="128" fillId="0" borderId="0" xfId="0" applyFont="1" applyFill="1" applyBorder="1" applyAlignment="1">
      <alignment vertical="center"/>
    </xf>
    <xf numFmtId="0" fontId="130" fillId="0" borderId="0" xfId="0" applyFont="1" applyFill="1" applyBorder="1" applyAlignment="1">
      <alignment vertical="center"/>
    </xf>
    <xf numFmtId="0" fontId="131" fillId="0" borderId="0" xfId="0" applyFont="1" applyFill="1" applyBorder="1" applyAlignment="1">
      <alignment horizontal="left" vertical="center" indent="5"/>
    </xf>
    <xf numFmtId="41" fontId="128" fillId="0" borderId="0" xfId="0" applyNumberFormat="1" applyFont="1" applyFill="1" applyBorder="1" applyAlignment="1">
      <alignment/>
    </xf>
    <xf numFmtId="0" fontId="129" fillId="0" borderId="0" xfId="0" applyFont="1" applyAlignment="1">
      <alignment vertical="center"/>
    </xf>
    <xf numFmtId="0" fontId="29" fillId="0" borderId="0" xfId="56" applyFont="1" applyAlignment="1">
      <alignment horizontal="left"/>
      <protection/>
    </xf>
    <xf numFmtId="37" fontId="0" fillId="0" borderId="0" xfId="0" applyNumberFormat="1" applyAlignment="1">
      <alignment vertical="center"/>
    </xf>
    <xf numFmtId="0" fontId="129" fillId="0" borderId="0" xfId="0" applyFont="1" applyAlignment="1">
      <alignment/>
    </xf>
    <xf numFmtId="0" fontId="132" fillId="0" borderId="0" xfId="0" applyFont="1" applyFill="1" applyBorder="1" applyAlignment="1">
      <alignment vertical="center"/>
    </xf>
    <xf numFmtId="0" fontId="133" fillId="0" borderId="0" xfId="0" applyFont="1" applyFill="1" applyBorder="1" applyAlignment="1">
      <alignment vertical="center"/>
    </xf>
    <xf numFmtId="0" fontId="0" fillId="0" borderId="0" xfId="0" applyFill="1" applyBorder="1" applyAlignment="1">
      <alignment horizontal="left" vertical="top" wrapText="1"/>
    </xf>
    <xf numFmtId="0" fontId="23" fillId="0" borderId="0" xfId="0" applyFont="1" applyFill="1" applyBorder="1" applyAlignment="1">
      <alignment horizontal="left" vertical="center" wrapText="1"/>
    </xf>
    <xf numFmtId="9" fontId="29" fillId="0" borderId="0" xfId="0" applyNumberFormat="1" applyFont="1" applyFill="1" applyBorder="1" applyAlignment="1">
      <alignment horizontal="center" vertical="center" wrapText="1"/>
    </xf>
    <xf numFmtId="0" fontId="23" fillId="0" borderId="0" xfId="0" applyFont="1" applyBorder="1" applyAlignment="1">
      <alignment horizontal="center" vertical="center"/>
    </xf>
    <xf numFmtId="0" fontId="30" fillId="0" borderId="0" xfId="0" applyFont="1" applyAlignment="1">
      <alignment vertical="center"/>
    </xf>
    <xf numFmtId="0" fontId="24" fillId="0" borderId="0" xfId="0" applyFont="1" applyAlignment="1">
      <alignment vertical="center"/>
    </xf>
    <xf numFmtId="0" fontId="94" fillId="0" borderId="0" xfId="0" applyFont="1" applyAlignment="1">
      <alignment vertical="center"/>
    </xf>
    <xf numFmtId="41" fontId="24" fillId="0" borderId="0" xfId="0" applyNumberFormat="1" applyFont="1" applyAlignment="1">
      <alignment vertical="center"/>
    </xf>
    <xf numFmtId="0" fontId="30" fillId="0" borderId="0" xfId="0" applyFont="1" applyBorder="1" applyAlignment="1">
      <alignment vertical="center"/>
    </xf>
    <xf numFmtId="0" fontId="31" fillId="0" borderId="0" xfId="0" applyFont="1" applyBorder="1" applyAlignment="1">
      <alignment horizontal="center" vertical="center"/>
    </xf>
    <xf numFmtId="39" fontId="30" fillId="0" borderId="0" xfId="0" applyNumberFormat="1" applyFont="1" applyBorder="1" applyAlignment="1">
      <alignment vertical="center"/>
    </xf>
    <xf numFmtId="41" fontId="30" fillId="0" borderId="0" xfId="0" applyNumberFormat="1" applyFont="1" applyBorder="1" applyAlignment="1">
      <alignment/>
    </xf>
    <xf numFmtId="0" fontId="30" fillId="0" borderId="0" xfId="0" applyFont="1" applyAlignment="1">
      <alignment/>
    </xf>
    <xf numFmtId="0" fontId="24" fillId="0" borderId="0" xfId="0" applyFont="1" applyAlignment="1">
      <alignment/>
    </xf>
    <xf numFmtId="41" fontId="24" fillId="0" borderId="0" xfId="0" applyNumberFormat="1" applyFont="1" applyAlignment="1">
      <alignment/>
    </xf>
    <xf numFmtId="4" fontId="24" fillId="0" borderId="0" xfId="0" applyNumberFormat="1" applyFont="1" applyAlignment="1">
      <alignment/>
    </xf>
    <xf numFmtId="41" fontId="30" fillId="0" borderId="0" xfId="0" applyNumberFormat="1" applyFont="1" applyBorder="1" applyAlignment="1">
      <alignment vertical="center"/>
    </xf>
    <xf numFmtId="4" fontId="24" fillId="0" borderId="0" xfId="0" applyNumberFormat="1" applyFont="1" applyAlignment="1">
      <alignment vertical="center"/>
    </xf>
    <xf numFmtId="41" fontId="94" fillId="0" borderId="0" xfId="0" applyNumberFormat="1" applyFont="1" applyAlignment="1">
      <alignment/>
    </xf>
    <xf numFmtId="41" fontId="29" fillId="0" borderId="0" xfId="0" applyNumberFormat="1" applyFont="1" applyBorder="1" applyAlignment="1">
      <alignment vertical="center"/>
    </xf>
    <xf numFmtId="0" fontId="32" fillId="0" borderId="0" xfId="0" applyFont="1" applyAlignment="1">
      <alignment horizontal="left" vertical="center" indent="5"/>
    </xf>
    <xf numFmtId="4" fontId="94" fillId="0" borderId="0" xfId="0" applyNumberFormat="1" applyFont="1" applyAlignment="1">
      <alignment vertical="center"/>
    </xf>
    <xf numFmtId="41" fontId="30" fillId="0" borderId="0" xfId="0" applyNumberFormat="1" applyFont="1" applyAlignment="1">
      <alignment vertical="center"/>
    </xf>
    <xf numFmtId="42" fontId="128" fillId="0" borderId="0" xfId="0" applyNumberFormat="1" applyFont="1" applyAlignment="1">
      <alignment vertical="center"/>
    </xf>
    <xf numFmtId="42" fontId="30" fillId="0" borderId="0" xfId="0" applyNumberFormat="1" applyFont="1" applyAlignment="1">
      <alignment vertical="center"/>
    </xf>
    <xf numFmtId="178" fontId="126" fillId="0" borderId="0" xfId="50" applyFont="1" applyBorder="1" applyAlignment="1">
      <alignment/>
    </xf>
    <xf numFmtId="0" fontId="22" fillId="0" borderId="0" xfId="56" applyFont="1">
      <alignment/>
      <protection/>
    </xf>
    <xf numFmtId="0" fontId="134" fillId="0" borderId="0" xfId="56" applyFont="1">
      <alignment/>
      <protection/>
    </xf>
    <xf numFmtId="0" fontId="135" fillId="0" borderId="0" xfId="0" applyFont="1" applyFill="1" applyAlignment="1">
      <alignment horizontal="center"/>
    </xf>
    <xf numFmtId="39" fontId="119" fillId="0" borderId="0" xfId="0" applyNumberFormat="1" applyFont="1" applyFill="1" applyAlignment="1">
      <alignment/>
    </xf>
    <xf numFmtId="39" fontId="118" fillId="0" borderId="0" xfId="48" applyNumberFormat="1" applyFont="1" applyFill="1" applyBorder="1" applyAlignment="1">
      <alignment/>
    </xf>
    <xf numFmtId="0" fontId="118" fillId="0" borderId="0" xfId="48" applyFont="1" applyFill="1" applyBorder="1" applyAlignment="1">
      <alignment/>
    </xf>
    <xf numFmtId="39" fontId="118" fillId="0" borderId="13" xfId="0" applyNumberFormat="1" applyFont="1" applyFill="1" applyBorder="1" applyAlignment="1">
      <alignment horizontal="right"/>
    </xf>
    <xf numFmtId="39" fontId="118" fillId="0" borderId="13" xfId="0" applyNumberFormat="1" applyFont="1" applyFill="1" applyBorder="1" applyAlignment="1">
      <alignment/>
    </xf>
    <xf numFmtId="0" fontId="119" fillId="0" borderId="13" xfId="0" applyFont="1" applyFill="1" applyBorder="1" applyAlignment="1">
      <alignment/>
    </xf>
    <xf numFmtId="39" fontId="118" fillId="0" borderId="17" xfId="0" applyNumberFormat="1" applyFont="1" applyFill="1" applyBorder="1" applyAlignment="1">
      <alignment/>
    </xf>
    <xf numFmtId="39" fontId="94" fillId="0" borderId="0" xfId="0" applyNumberFormat="1" applyFont="1" applyFill="1" applyAlignment="1">
      <alignment/>
    </xf>
    <xf numFmtId="39" fontId="136" fillId="0" borderId="0" xfId="0" applyNumberFormat="1" applyFont="1" applyFill="1" applyAlignment="1">
      <alignment/>
    </xf>
    <xf numFmtId="0" fontId="136" fillId="0" borderId="0" xfId="0" applyFont="1" applyFill="1" applyAlignment="1">
      <alignment/>
    </xf>
    <xf numFmtId="0" fontId="135" fillId="0" borderId="0" xfId="48" applyFont="1" applyFill="1" applyAlignment="1">
      <alignment horizontal="center"/>
    </xf>
    <xf numFmtId="0" fontId="118" fillId="0" borderId="0" xfId="0" applyFont="1" applyFill="1" applyAlignment="1">
      <alignment/>
    </xf>
    <xf numFmtId="0" fontId="118" fillId="0" borderId="13" xfId="48" applyFont="1" applyFill="1" applyBorder="1" applyAlignment="1">
      <alignment/>
    </xf>
    <xf numFmtId="181" fontId="137" fillId="0" borderId="10" xfId="0" applyNumberFormat="1" applyFont="1" applyFill="1" applyBorder="1" applyAlignment="1">
      <alignment/>
    </xf>
    <xf numFmtId="0" fontId="121" fillId="0" borderId="11" xfId="48" applyFont="1" applyFill="1" applyBorder="1" applyAlignment="1">
      <alignment/>
    </xf>
    <xf numFmtId="0" fontId="121" fillId="0" borderId="0" xfId="0" applyFont="1" applyFill="1" applyAlignment="1">
      <alignment/>
    </xf>
    <xf numFmtId="0" fontId="138" fillId="0" borderId="0" xfId="0" applyFont="1" applyFill="1" applyAlignment="1">
      <alignment/>
    </xf>
    <xf numFmtId="0" fontId="135" fillId="0" borderId="0" xfId="0" applyFont="1" applyFill="1" applyAlignment="1">
      <alignment horizontal="right"/>
    </xf>
    <xf numFmtId="39" fontId="139" fillId="0" borderId="0" xfId="0" applyNumberFormat="1" applyFont="1" applyFill="1" applyAlignment="1">
      <alignment/>
    </xf>
    <xf numFmtId="0" fontId="121" fillId="0" borderId="10" xfId="0" applyFont="1" applyFill="1" applyBorder="1" applyAlignment="1">
      <alignment/>
    </xf>
    <xf numFmtId="0" fontId="97" fillId="0" borderId="0" xfId="0" applyFont="1" applyFill="1" applyAlignment="1">
      <alignment/>
    </xf>
    <xf numFmtId="39" fontId="140" fillId="0" borderId="0" xfId="0" applyNumberFormat="1" applyFont="1" applyFill="1" applyAlignment="1">
      <alignment/>
    </xf>
    <xf numFmtId="0" fontId="138" fillId="0" borderId="0" xfId="0" applyFont="1" applyFill="1" applyAlignment="1">
      <alignment horizontal="right"/>
    </xf>
    <xf numFmtId="0" fontId="121" fillId="0" borderId="10" xfId="48" applyFont="1" applyFill="1" applyBorder="1" applyAlignment="1">
      <alignment/>
    </xf>
    <xf numFmtId="39" fontId="118" fillId="0" borderId="0" xfId="0" applyNumberFormat="1" applyFont="1" applyFill="1" applyBorder="1" applyAlignment="1">
      <alignment/>
    </xf>
    <xf numFmtId="173" fontId="119" fillId="0" borderId="0" xfId="0" applyNumberFormat="1" applyFont="1" applyFill="1" applyAlignment="1">
      <alignment/>
    </xf>
    <xf numFmtId="39" fontId="119" fillId="0" borderId="17" xfId="0" applyNumberFormat="1" applyFont="1" applyFill="1" applyBorder="1" applyAlignment="1">
      <alignment/>
    </xf>
    <xf numFmtId="0" fontId="121" fillId="0" borderId="0" xfId="48" applyFont="1" applyFill="1" applyAlignment="1">
      <alignment/>
    </xf>
    <xf numFmtId="180" fontId="121" fillId="0" borderId="0" xfId="0" applyNumberFormat="1" applyFont="1" applyFill="1" applyAlignment="1">
      <alignment/>
    </xf>
    <xf numFmtId="39" fontId="136" fillId="0" borderId="17" xfId="0" applyNumberFormat="1" applyFont="1" applyFill="1" applyBorder="1" applyAlignment="1">
      <alignment/>
    </xf>
    <xf numFmtId="4" fontId="119" fillId="0" borderId="0" xfId="0" applyNumberFormat="1" applyFont="1" applyFill="1" applyAlignment="1">
      <alignment/>
    </xf>
    <xf numFmtId="4" fontId="119" fillId="0" borderId="17" xfId="0" applyNumberFormat="1" applyFont="1" applyFill="1" applyBorder="1" applyAlignment="1">
      <alignment/>
    </xf>
    <xf numFmtId="4" fontId="137" fillId="0" borderId="0" xfId="0" applyNumberFormat="1" applyFont="1" applyFill="1" applyAlignment="1">
      <alignment/>
    </xf>
    <xf numFmtId="0" fontId="119" fillId="0" borderId="17" xfId="0" applyFont="1" applyFill="1" applyBorder="1" applyAlignment="1">
      <alignment/>
    </xf>
    <xf numFmtId="39" fontId="121" fillId="0" borderId="18" xfId="0" applyNumberFormat="1" applyFont="1" applyFill="1" applyBorder="1" applyAlignment="1">
      <alignment/>
    </xf>
    <xf numFmtId="0" fontId="121" fillId="0" borderId="18" xfId="0" applyFont="1" applyFill="1" applyBorder="1" applyAlignment="1">
      <alignment/>
    </xf>
    <xf numFmtId="0" fontId="121" fillId="0" borderId="17" xfId="48" applyFont="1" applyFill="1" applyBorder="1" applyAlignment="1">
      <alignment/>
    </xf>
    <xf numFmtId="0" fontId="94" fillId="0" borderId="17" xfId="0" applyFont="1" applyFill="1" applyBorder="1" applyAlignment="1">
      <alignment/>
    </xf>
    <xf numFmtId="0" fontId="121" fillId="0" borderId="0" xfId="0" applyFont="1" applyFill="1" applyBorder="1" applyAlignment="1">
      <alignment/>
    </xf>
    <xf numFmtId="0" fontId="94" fillId="0" borderId="0" xfId="0" applyFont="1" applyFill="1" applyBorder="1" applyAlignment="1">
      <alignment/>
    </xf>
    <xf numFmtId="39" fontId="136" fillId="0" borderId="0" xfId="0" applyNumberFormat="1" applyFont="1" applyAlignment="1">
      <alignment/>
    </xf>
    <xf numFmtId="181" fontId="119" fillId="0" borderId="0" xfId="0" applyNumberFormat="1" applyFont="1" applyFill="1" applyAlignment="1">
      <alignment/>
    </xf>
    <xf numFmtId="0" fontId="94" fillId="0" borderId="21" xfId="0" applyFont="1" applyFill="1" applyBorder="1" applyAlignment="1">
      <alignment/>
    </xf>
    <xf numFmtId="0" fontId="135" fillId="0" borderId="10" xfId="48" applyFont="1" applyFill="1" applyBorder="1" applyAlignment="1">
      <alignment/>
    </xf>
    <xf numFmtId="0" fontId="0" fillId="0" borderId="23" xfId="0" applyBorder="1" applyAlignment="1">
      <alignment/>
    </xf>
    <xf numFmtId="39" fontId="0" fillId="0" borderId="23" xfId="0" applyNumberFormat="1" applyBorder="1" applyAlignment="1">
      <alignment/>
    </xf>
    <xf numFmtId="39" fontId="111" fillId="0" borderId="23" xfId="0" applyNumberFormat="1" applyFont="1" applyBorder="1" applyAlignment="1">
      <alignment/>
    </xf>
    <xf numFmtId="0" fontId="111" fillId="0" borderId="23" xfId="0" applyFont="1" applyBorder="1" applyAlignment="1">
      <alignment horizontal="center"/>
    </xf>
    <xf numFmtId="0" fontId="0" fillId="33" borderId="0" xfId="0" applyFill="1" applyAlignment="1">
      <alignment/>
    </xf>
    <xf numFmtId="0" fontId="0" fillId="33" borderId="0" xfId="48" applyFont="1" applyFill="1" applyAlignment="1">
      <alignment/>
    </xf>
    <xf numFmtId="0" fontId="6" fillId="34" borderId="0" xfId="55" applyFont="1" applyFill="1">
      <alignment/>
      <protection/>
    </xf>
    <xf numFmtId="0" fontId="0" fillId="34" borderId="0" xfId="0" applyFill="1" applyAlignment="1">
      <alignment/>
    </xf>
    <xf numFmtId="39" fontId="24" fillId="34" borderId="0" xfId="55" applyNumberFormat="1" applyFont="1" applyFill="1">
      <alignment/>
      <protection/>
    </xf>
    <xf numFmtId="39" fontId="0" fillId="34" borderId="0" xfId="0" applyNumberFormat="1" applyFill="1" applyAlignment="1">
      <alignment/>
    </xf>
    <xf numFmtId="0" fontId="94" fillId="34" borderId="0" xfId="0" applyFont="1" applyFill="1" applyAlignment="1">
      <alignment/>
    </xf>
    <xf numFmtId="39" fontId="0" fillId="34" borderId="0" xfId="55" applyNumberFormat="1" applyFont="1" applyFill="1">
      <alignment/>
      <protection/>
    </xf>
    <xf numFmtId="39" fontId="0" fillId="34" borderId="0" xfId="0" applyNumberFormat="1" applyFont="1" applyFill="1" applyAlignment="1">
      <alignment/>
    </xf>
    <xf numFmtId="0" fontId="130" fillId="0" borderId="0" xfId="0" applyFont="1" applyAlignment="1">
      <alignment vertical="center"/>
    </xf>
    <xf numFmtId="0" fontId="130" fillId="0" borderId="0" xfId="48" applyFont="1" applyAlignment="1">
      <alignment vertical="center"/>
    </xf>
    <xf numFmtId="0" fontId="128" fillId="0" borderId="0" xfId="0" applyFont="1" applyAlignment="1">
      <alignment horizontal="right" vertical="center"/>
    </xf>
    <xf numFmtId="0" fontId="130" fillId="0" borderId="0" xfId="0" applyFont="1" applyAlignment="1">
      <alignment horizontal="right" vertical="center"/>
    </xf>
    <xf numFmtId="41" fontId="141" fillId="0" borderId="0" xfId="0" applyNumberFormat="1" applyFont="1" applyAlignment="1">
      <alignment vertical="center"/>
    </xf>
    <xf numFmtId="0" fontId="0" fillId="34" borderId="0" xfId="48" applyFont="1" applyFill="1" applyAlignment="1">
      <alignment/>
    </xf>
    <xf numFmtId="0" fontId="24" fillId="34" borderId="0" xfId="48" applyFont="1" applyFill="1" applyAlignment="1">
      <alignment/>
    </xf>
    <xf numFmtId="181" fontId="94" fillId="0" borderId="0" xfId="0" applyNumberFormat="1" applyFont="1" applyAlignment="1">
      <alignment/>
    </xf>
    <xf numFmtId="0" fontId="128" fillId="0" borderId="0" xfId="0" applyFont="1" applyBorder="1" applyAlignment="1">
      <alignment vertical="center"/>
    </xf>
    <xf numFmtId="0" fontId="142" fillId="0" borderId="0" xfId="0" applyFont="1" applyBorder="1" applyAlignment="1">
      <alignment horizontal="left" vertical="center"/>
    </xf>
    <xf numFmtId="1" fontId="143" fillId="0" borderId="0" xfId="0" applyNumberFormat="1" applyFont="1" applyBorder="1" applyAlignment="1">
      <alignment horizontal="center" vertical="center"/>
    </xf>
    <xf numFmtId="0" fontId="129" fillId="0" borderId="0" xfId="0" applyFont="1" applyBorder="1" applyAlignment="1">
      <alignment horizontal="center" vertical="center"/>
    </xf>
    <xf numFmtId="0" fontId="129" fillId="0" borderId="0" xfId="0" applyFont="1" applyFill="1" applyBorder="1" applyAlignment="1">
      <alignment horizontal="left" vertical="center"/>
    </xf>
    <xf numFmtId="0" fontId="128" fillId="0" borderId="0" xfId="0" applyFont="1" applyFill="1" applyBorder="1" applyAlignment="1">
      <alignment horizontal="justify" vertical="center"/>
    </xf>
    <xf numFmtId="39" fontId="129" fillId="0" borderId="0" xfId="0" applyNumberFormat="1" applyFont="1" applyFill="1" applyBorder="1" applyAlignment="1">
      <alignment vertical="center"/>
    </xf>
    <xf numFmtId="39" fontId="128" fillId="0" borderId="0" xfId="0" applyNumberFormat="1" applyFont="1" applyFill="1" applyBorder="1" applyAlignment="1">
      <alignment vertical="center"/>
    </xf>
    <xf numFmtId="41" fontId="128" fillId="0" borderId="0" xfId="0" applyNumberFormat="1" applyFont="1" applyFill="1" applyBorder="1" applyAlignment="1">
      <alignment vertical="center"/>
    </xf>
    <xf numFmtId="41" fontId="128" fillId="0" borderId="0" xfId="0" applyNumberFormat="1" applyFont="1" applyFill="1" applyBorder="1" applyAlignment="1">
      <alignment horizontal="left" vertical="center"/>
    </xf>
    <xf numFmtId="41" fontId="128" fillId="0" borderId="0" xfId="0" applyNumberFormat="1" applyFont="1" applyFill="1" applyBorder="1" applyAlignment="1">
      <alignment horizontal="left" vertical="center" indent="5"/>
    </xf>
    <xf numFmtId="41" fontId="129" fillId="0" borderId="0" xfId="0" applyNumberFormat="1" applyFont="1" applyFill="1" applyBorder="1" applyAlignment="1">
      <alignment vertical="center"/>
    </xf>
    <xf numFmtId="41" fontId="144" fillId="0" borderId="0" xfId="0" applyNumberFormat="1" applyFont="1" applyFill="1" applyBorder="1" applyAlignment="1">
      <alignment horizontal="left" vertical="center"/>
    </xf>
    <xf numFmtId="41" fontId="128" fillId="0" borderId="0" xfId="0" applyNumberFormat="1" applyFont="1" applyFill="1" applyBorder="1" applyAlignment="1">
      <alignment/>
    </xf>
    <xf numFmtId="0" fontId="129" fillId="0" borderId="0" xfId="0" applyFont="1" applyFill="1" applyBorder="1" applyAlignment="1">
      <alignment horizontal="left" vertical="top"/>
    </xf>
    <xf numFmtId="41" fontId="129" fillId="0" borderId="11" xfId="0" applyNumberFormat="1" applyFont="1" applyFill="1" applyBorder="1" applyAlignment="1">
      <alignment vertical="center"/>
    </xf>
    <xf numFmtId="41" fontId="128" fillId="0" borderId="13" xfId="0" applyNumberFormat="1" applyFont="1" applyFill="1" applyBorder="1" applyAlignment="1">
      <alignment vertical="center"/>
    </xf>
    <xf numFmtId="41" fontId="128" fillId="0" borderId="13" xfId="0" applyNumberFormat="1" applyFont="1" applyFill="1" applyBorder="1" applyAlignment="1">
      <alignment/>
    </xf>
    <xf numFmtId="41" fontId="129" fillId="0" borderId="13" xfId="0" applyNumberFormat="1" applyFont="1" applyFill="1" applyBorder="1" applyAlignment="1">
      <alignment vertical="center"/>
    </xf>
    <xf numFmtId="0" fontId="129" fillId="0" borderId="0" xfId="0" applyFont="1" applyBorder="1" applyAlignment="1">
      <alignment horizontal="left" vertical="center"/>
    </xf>
    <xf numFmtId="0" fontId="128" fillId="0" borderId="0" xfId="0" applyFont="1" applyBorder="1" applyAlignment="1">
      <alignment horizontal="justify" vertical="center"/>
    </xf>
    <xf numFmtId="39" fontId="129" fillId="0" borderId="0" xfId="0" applyNumberFormat="1" applyFont="1" applyBorder="1" applyAlignment="1">
      <alignment vertical="center"/>
    </xf>
    <xf numFmtId="39" fontId="128" fillId="0" borderId="0" xfId="0" applyNumberFormat="1" applyFont="1" applyBorder="1" applyAlignment="1">
      <alignment vertical="center"/>
    </xf>
    <xf numFmtId="41" fontId="128" fillId="0" borderId="0" xfId="0" applyNumberFormat="1" applyFont="1" applyBorder="1" applyAlignment="1">
      <alignment vertical="center"/>
    </xf>
    <xf numFmtId="41" fontId="128" fillId="0" borderId="0" xfId="0" applyNumberFormat="1" applyFont="1" applyBorder="1" applyAlignment="1">
      <alignment horizontal="left" vertical="center"/>
    </xf>
    <xf numFmtId="41" fontId="129" fillId="0" borderId="0" xfId="0" applyNumberFormat="1" applyFont="1" applyBorder="1" applyAlignment="1">
      <alignment vertical="center"/>
    </xf>
    <xf numFmtId="0" fontId="128" fillId="0" borderId="0" xfId="0" applyFont="1" applyBorder="1" applyAlignment="1">
      <alignment horizontal="left" vertical="center"/>
    </xf>
    <xf numFmtId="41" fontId="144" fillId="0" borderId="0" xfId="0" applyNumberFormat="1" applyFont="1" applyBorder="1" applyAlignment="1">
      <alignment horizontal="left" vertical="center"/>
    </xf>
    <xf numFmtId="41" fontId="128" fillId="0" borderId="13" xfId="0" applyNumberFormat="1" applyFont="1" applyBorder="1" applyAlignment="1">
      <alignment vertical="center"/>
    </xf>
    <xf numFmtId="0" fontId="128" fillId="0" borderId="13" xfId="0" applyFont="1" applyBorder="1" applyAlignment="1">
      <alignment vertical="center"/>
    </xf>
    <xf numFmtId="41" fontId="129" fillId="0" borderId="10" xfId="0" applyNumberFormat="1" applyFont="1" applyBorder="1" applyAlignment="1">
      <alignment vertical="center"/>
    </xf>
    <xf numFmtId="0" fontId="145" fillId="0" borderId="0" xfId="0" applyFont="1" applyBorder="1" applyAlignment="1">
      <alignment horizontal="center" vertical="center"/>
    </xf>
    <xf numFmtId="0" fontId="128" fillId="0" borderId="0" xfId="0" applyFont="1" applyBorder="1" applyAlignment="1">
      <alignment/>
    </xf>
    <xf numFmtId="0" fontId="142" fillId="0" borderId="0" xfId="0" applyFont="1" applyBorder="1" applyAlignment="1">
      <alignment horizontal="left" vertical="center" indent="4"/>
    </xf>
    <xf numFmtId="41" fontId="128" fillId="0" borderId="0" xfId="0" applyNumberFormat="1" applyFont="1" applyBorder="1" applyAlignment="1">
      <alignment/>
    </xf>
    <xf numFmtId="0" fontId="128" fillId="0" borderId="0" xfId="0" applyFont="1" applyBorder="1" applyAlignment="1">
      <alignment vertical="center" wrapText="1"/>
    </xf>
    <xf numFmtId="0" fontId="128" fillId="0" borderId="0" xfId="0" applyFont="1" applyBorder="1" applyAlignment="1">
      <alignment wrapText="1"/>
    </xf>
    <xf numFmtId="0" fontId="129" fillId="0" borderId="0" xfId="0" applyFont="1" applyBorder="1" applyAlignment="1">
      <alignment vertical="center"/>
    </xf>
    <xf numFmtId="0" fontId="143" fillId="0" borderId="0" xfId="0" applyFont="1" applyBorder="1" applyAlignment="1">
      <alignment horizontal="center" vertical="center"/>
    </xf>
    <xf numFmtId="0" fontId="129" fillId="0" borderId="0" xfId="0" applyFont="1" applyBorder="1" applyAlignment="1">
      <alignment horizontal="left" vertical="top"/>
    </xf>
    <xf numFmtId="0" fontId="128" fillId="0" borderId="0" xfId="0" applyFont="1" applyBorder="1" applyAlignment="1">
      <alignment horizontal="justify" vertical="top"/>
    </xf>
    <xf numFmtId="41" fontId="128" fillId="0" borderId="13" xfId="0" applyNumberFormat="1" applyFont="1" applyBorder="1" applyAlignment="1">
      <alignment/>
    </xf>
    <xf numFmtId="192" fontId="146" fillId="0" borderId="0" xfId="0" applyNumberFormat="1" applyFont="1" applyFill="1" applyBorder="1" applyAlignment="1">
      <alignment horizontal="left" vertical="top" wrapText="1"/>
    </xf>
    <xf numFmtId="43" fontId="111" fillId="0" borderId="0" xfId="0" applyNumberFormat="1" applyFont="1" applyAlignment="1">
      <alignment/>
    </xf>
    <xf numFmtId="0" fontId="8" fillId="0" borderId="0" xfId="55" applyFont="1" applyFill="1">
      <alignment/>
      <protection/>
    </xf>
    <xf numFmtId="0" fontId="6" fillId="0" borderId="0" xfId="55" applyFont="1" applyFill="1">
      <alignment/>
      <protection/>
    </xf>
    <xf numFmtId="0" fontId="111" fillId="0" borderId="0" xfId="0" applyFont="1" applyAlignment="1">
      <alignment/>
    </xf>
    <xf numFmtId="39" fontId="0" fillId="0" borderId="0" xfId="0" applyNumberFormat="1" applyFont="1" applyAlignment="1">
      <alignment/>
    </xf>
    <xf numFmtId="39" fontId="0" fillId="0" borderId="13" xfId="0" applyNumberFormat="1" applyFont="1" applyBorder="1" applyAlignment="1">
      <alignment/>
    </xf>
    <xf numFmtId="0" fontId="147" fillId="0" borderId="0" xfId="0" applyFont="1" applyAlignment="1">
      <alignment horizontal="left" vertical="top"/>
    </xf>
    <xf numFmtId="0" fontId="148" fillId="0" borderId="0" xfId="0" applyFont="1" applyAlignment="1">
      <alignment/>
    </xf>
    <xf numFmtId="183" fontId="111" fillId="0" borderId="23" xfId="0" applyNumberFormat="1" applyFont="1" applyBorder="1" applyAlignment="1">
      <alignment horizontal="center"/>
    </xf>
    <xf numFmtId="0" fontId="111" fillId="0" borderId="23" xfId="0" applyFont="1" applyBorder="1" applyAlignment="1">
      <alignment/>
    </xf>
    <xf numFmtId="0" fontId="0" fillId="0" borderId="23" xfId="0" applyFill="1" applyBorder="1" applyAlignment="1">
      <alignment/>
    </xf>
    <xf numFmtId="183" fontId="0" fillId="0" borderId="23" xfId="0" applyNumberFormat="1" applyBorder="1" applyAlignment="1">
      <alignment/>
    </xf>
    <xf numFmtId="183" fontId="0" fillId="0" borderId="23" xfId="0" applyNumberFormat="1" applyBorder="1" applyAlignment="1">
      <alignment wrapText="1"/>
    </xf>
    <xf numFmtId="183" fontId="111" fillId="0" borderId="23" xfId="0" applyNumberFormat="1" applyFont="1" applyBorder="1" applyAlignment="1">
      <alignment/>
    </xf>
    <xf numFmtId="183" fontId="0" fillId="0" borderId="0" xfId="0" applyNumberFormat="1" applyAlignment="1">
      <alignment/>
    </xf>
    <xf numFmtId="4" fontId="0" fillId="0" borderId="23" xfId="0" applyNumberFormat="1" applyBorder="1" applyAlignment="1">
      <alignment/>
    </xf>
    <xf numFmtId="4" fontId="111" fillId="0" borderId="23" xfId="0" applyNumberFormat="1" applyFont="1" applyBorder="1" applyAlignment="1">
      <alignment/>
    </xf>
    <xf numFmtId="4" fontId="0" fillId="0" borderId="23" xfId="0" applyNumberFormat="1" applyFill="1" applyBorder="1" applyAlignment="1">
      <alignment/>
    </xf>
    <xf numFmtId="0" fontId="145" fillId="0" borderId="0" xfId="0" applyFont="1" applyBorder="1" applyAlignment="1">
      <alignment horizontal="center" vertical="center"/>
    </xf>
    <xf numFmtId="43" fontId="115" fillId="0" borderId="0" xfId="0" applyNumberFormat="1" applyFont="1" applyFill="1" applyAlignment="1">
      <alignment/>
    </xf>
    <xf numFmtId="43" fontId="115" fillId="0" borderId="0" xfId="0" applyNumberFormat="1" applyFont="1" applyFill="1" applyBorder="1" applyAlignment="1">
      <alignment/>
    </xf>
    <xf numFmtId="43" fontId="115" fillId="0" borderId="13" xfId="0" applyNumberFormat="1" applyFont="1" applyFill="1" applyBorder="1" applyAlignment="1">
      <alignment/>
    </xf>
    <xf numFmtId="0" fontId="128" fillId="0" borderId="0" xfId="0" applyFont="1" applyBorder="1" applyAlignment="1">
      <alignment horizontal="left" vertical="center"/>
    </xf>
    <xf numFmtId="4" fontId="12" fillId="0" borderId="0" xfId="48" applyNumberFormat="1" applyFont="1" applyFill="1" applyBorder="1" applyAlignment="1">
      <alignment/>
    </xf>
    <xf numFmtId="203" fontId="128" fillId="0" borderId="0" xfId="0" applyNumberFormat="1" applyFont="1" applyFill="1" applyBorder="1" applyAlignment="1">
      <alignment vertical="center"/>
    </xf>
    <xf numFmtId="41" fontId="0" fillId="0" borderId="0" xfId="0" applyNumberFormat="1" applyAlignment="1">
      <alignment vertical="center"/>
    </xf>
    <xf numFmtId="41" fontId="0" fillId="0" borderId="0" xfId="0" applyNumberFormat="1" applyAlignment="1">
      <alignment/>
    </xf>
    <xf numFmtId="179" fontId="0" fillId="0" borderId="0" xfId="0" applyNumberFormat="1" applyFill="1" applyAlignment="1">
      <alignment/>
    </xf>
    <xf numFmtId="181" fontId="0" fillId="0" borderId="0" xfId="0" applyNumberFormat="1" applyFill="1" applyAlignment="1">
      <alignment/>
    </xf>
    <xf numFmtId="189" fontId="0" fillId="0" borderId="0" xfId="0" applyNumberFormat="1" applyFill="1" applyAlignment="1">
      <alignment/>
    </xf>
    <xf numFmtId="185" fontId="0" fillId="0" borderId="0" xfId="0" applyNumberFormat="1" applyFill="1" applyAlignment="1">
      <alignment/>
    </xf>
    <xf numFmtId="190" fontId="0" fillId="0" borderId="0" xfId="0" applyNumberFormat="1" applyFill="1" applyAlignment="1">
      <alignment/>
    </xf>
    <xf numFmtId="0" fontId="4" fillId="0" borderId="0" xfId="56" applyFont="1" applyAlignment="1">
      <alignment/>
      <protection/>
    </xf>
    <xf numFmtId="181" fontId="94" fillId="0" borderId="0" xfId="0" applyNumberFormat="1" applyFont="1" applyFill="1" applyAlignment="1">
      <alignment/>
    </xf>
    <xf numFmtId="199" fontId="94" fillId="0" borderId="0" xfId="0" applyNumberFormat="1" applyFont="1" applyFill="1" applyAlignment="1">
      <alignment/>
    </xf>
    <xf numFmtId="200" fontId="94" fillId="0" borderId="0" xfId="0" applyNumberFormat="1" applyFont="1" applyFill="1" applyAlignment="1">
      <alignment/>
    </xf>
    <xf numFmtId="4" fontId="94" fillId="0" borderId="0" xfId="0" applyNumberFormat="1" applyFont="1" applyFill="1" applyAlignment="1">
      <alignment/>
    </xf>
    <xf numFmtId="0" fontId="0" fillId="0" borderId="24" xfId="0" applyBorder="1" applyAlignment="1">
      <alignment/>
    </xf>
    <xf numFmtId="0" fontId="111" fillId="0" borderId="25" xfId="0" applyFont="1" applyBorder="1" applyAlignment="1">
      <alignment horizontal="center"/>
    </xf>
    <xf numFmtId="0" fontId="111" fillId="0" borderId="26" xfId="0" applyFont="1" applyBorder="1" applyAlignment="1">
      <alignment horizontal="center"/>
    </xf>
    <xf numFmtId="0" fontId="111" fillId="0" borderId="27" xfId="0" applyFont="1" applyBorder="1" applyAlignment="1">
      <alignment horizontal="center"/>
    </xf>
    <xf numFmtId="0" fontId="0" fillId="0" borderId="28" xfId="0" applyBorder="1" applyAlignment="1">
      <alignment/>
    </xf>
    <xf numFmtId="0" fontId="0" fillId="0" borderId="29" xfId="0" applyBorder="1" applyAlignment="1">
      <alignment/>
    </xf>
    <xf numFmtId="39" fontId="111" fillId="0" borderId="29" xfId="0" applyNumberFormat="1" applyFont="1" applyBorder="1" applyAlignment="1">
      <alignment/>
    </xf>
    <xf numFmtId="0" fontId="0" fillId="0" borderId="30" xfId="0" applyBorder="1" applyAlignment="1">
      <alignment/>
    </xf>
    <xf numFmtId="204" fontId="0" fillId="0" borderId="30" xfId="0" applyNumberFormat="1" applyBorder="1" applyAlignment="1">
      <alignment/>
    </xf>
    <xf numFmtId="0" fontId="0" fillId="0" borderId="31" xfId="0" applyBorder="1" applyAlignment="1">
      <alignment/>
    </xf>
    <xf numFmtId="9" fontId="128" fillId="0" borderId="0" xfId="60" applyFont="1" applyAlignment="1">
      <alignment vertical="center"/>
    </xf>
    <xf numFmtId="9" fontId="129" fillId="0" borderId="0" xfId="60" applyFont="1" applyAlignment="1">
      <alignment horizontal="left" vertical="center"/>
    </xf>
    <xf numFmtId="9" fontId="0" fillId="0" borderId="0" xfId="60" applyFont="1" applyAlignment="1">
      <alignment/>
    </xf>
    <xf numFmtId="0" fontId="0" fillId="0" borderId="28" xfId="0" applyBorder="1" applyAlignment="1">
      <alignment wrapText="1"/>
    </xf>
    <xf numFmtId="0" fontId="6" fillId="35" borderId="0" xfId="55" applyFont="1" applyFill="1">
      <alignment/>
      <protection/>
    </xf>
    <xf numFmtId="0" fontId="114" fillId="34" borderId="0" xfId="55" applyFont="1" applyFill="1">
      <alignment/>
      <protection/>
    </xf>
    <xf numFmtId="0" fontId="6" fillId="34" borderId="0" xfId="48" applyFont="1" applyFill="1" applyAlignment="1">
      <alignment/>
    </xf>
    <xf numFmtId="0" fontId="128" fillId="34" borderId="0" xfId="0" applyFont="1" applyFill="1" applyBorder="1" applyAlignment="1">
      <alignment vertical="center"/>
    </xf>
    <xf numFmtId="0" fontId="128" fillId="34" borderId="0" xfId="0" applyFont="1" applyFill="1" applyBorder="1" applyAlignment="1">
      <alignment vertical="center" wrapText="1"/>
    </xf>
    <xf numFmtId="0" fontId="128" fillId="0" borderId="0" xfId="0" applyFont="1" applyBorder="1" applyAlignment="1">
      <alignment horizontal="left" vertical="center"/>
    </xf>
    <xf numFmtId="0" fontId="129" fillId="0" borderId="0" xfId="0" applyFont="1" applyFill="1" applyBorder="1" applyAlignment="1">
      <alignment horizontal="center" vertical="center" wrapText="1"/>
    </xf>
    <xf numFmtId="0" fontId="129" fillId="0" borderId="0" xfId="0" applyFont="1" applyFill="1" applyBorder="1" applyAlignment="1">
      <alignment horizontal="center" vertical="center"/>
    </xf>
    <xf numFmtId="0" fontId="129" fillId="0" borderId="0" xfId="0" applyFont="1" applyFill="1" applyBorder="1" applyAlignment="1">
      <alignment horizontal="center"/>
    </xf>
    <xf numFmtId="0" fontId="129" fillId="0" borderId="0" xfId="0" applyFont="1" applyFill="1" applyBorder="1" applyAlignment="1">
      <alignment vertical="center"/>
    </xf>
    <xf numFmtId="0" fontId="128" fillId="0" borderId="0" xfId="0" applyFont="1" applyFill="1" applyBorder="1" applyAlignment="1">
      <alignment vertical="center" wrapText="1"/>
    </xf>
    <xf numFmtId="41" fontId="30" fillId="0" borderId="0" xfId="0" applyNumberFormat="1" applyFont="1" applyFill="1" applyBorder="1" applyAlignment="1">
      <alignment vertical="center"/>
    </xf>
    <xf numFmtId="0" fontId="30" fillId="0" borderId="0" xfId="0" applyFont="1" applyFill="1" applyAlignment="1">
      <alignment vertical="center"/>
    </xf>
    <xf numFmtId="0" fontId="24" fillId="0" borderId="0" xfId="0" applyFont="1" applyFill="1" applyAlignment="1">
      <alignment vertical="center"/>
    </xf>
    <xf numFmtId="4" fontId="24" fillId="0" borderId="0" xfId="0" applyNumberFormat="1" applyFont="1" applyFill="1" applyAlignment="1">
      <alignment vertical="center"/>
    </xf>
    <xf numFmtId="0" fontId="94" fillId="0" borderId="0" xfId="0" applyFont="1" applyFill="1" applyAlignment="1">
      <alignment vertical="center"/>
    </xf>
    <xf numFmtId="0" fontId="0" fillId="0" borderId="0" xfId="0" applyFill="1" applyAlignment="1">
      <alignment vertical="center"/>
    </xf>
    <xf numFmtId="0" fontId="32" fillId="0" borderId="0" xfId="0" applyFont="1" applyFill="1" applyAlignment="1">
      <alignment horizontal="left" vertical="center"/>
    </xf>
    <xf numFmtId="0" fontId="29" fillId="0" borderId="23" xfId="0" applyFont="1" applyFill="1" applyBorder="1" applyAlignment="1">
      <alignment horizontal="center" vertical="top" wrapText="1"/>
    </xf>
    <xf numFmtId="0" fontId="29" fillId="0" borderId="29" xfId="0" applyFont="1" applyFill="1" applyBorder="1" applyAlignment="1">
      <alignment horizontal="center" vertical="top" wrapText="1"/>
    </xf>
    <xf numFmtId="191" fontId="133" fillId="0" borderId="28" xfId="0" applyNumberFormat="1" applyFont="1" applyFill="1" applyBorder="1" applyAlignment="1">
      <alignment horizontal="left" vertical="top" wrapText="1"/>
    </xf>
    <xf numFmtId="0" fontId="29" fillId="0" borderId="23" xfId="0" applyFont="1" applyFill="1" applyBorder="1" applyAlignment="1">
      <alignment horizontal="left" vertical="top" wrapText="1"/>
    </xf>
    <xf numFmtId="9" fontId="29" fillId="0" borderId="23" xfId="60" applyFont="1" applyFill="1" applyBorder="1" applyAlignment="1">
      <alignment horizontal="center" vertical="top" wrapText="1"/>
    </xf>
    <xf numFmtId="192" fontId="146" fillId="0" borderId="28" xfId="0" applyNumberFormat="1" applyFont="1" applyFill="1" applyBorder="1" applyAlignment="1">
      <alignment horizontal="left" vertical="top" wrapText="1"/>
    </xf>
    <xf numFmtId="0" fontId="30" fillId="0" borderId="23" xfId="0" applyFont="1" applyFill="1" applyBorder="1" applyAlignment="1">
      <alignment horizontal="left" vertical="top" wrapText="1"/>
    </xf>
    <xf numFmtId="9" fontId="30" fillId="0" borderId="23" xfId="60" applyFont="1" applyFill="1" applyBorder="1" applyAlignment="1">
      <alignment horizontal="center" vertical="top" wrapText="1"/>
    </xf>
    <xf numFmtId="0" fontId="0" fillId="0" borderId="32" xfId="0" applyFill="1" applyBorder="1" applyAlignment="1">
      <alignment horizontal="left" vertical="top" wrapText="1"/>
    </xf>
    <xf numFmtId="0" fontId="23" fillId="0" borderId="30" xfId="0" applyFont="1" applyFill="1" applyBorder="1" applyAlignment="1">
      <alignment horizontal="left" vertical="center" wrapText="1"/>
    </xf>
    <xf numFmtId="9" fontId="29" fillId="0" borderId="30" xfId="0" applyNumberFormat="1" applyFont="1" applyFill="1" applyBorder="1" applyAlignment="1">
      <alignment horizontal="center" vertical="center" wrapText="1"/>
    </xf>
    <xf numFmtId="4" fontId="30" fillId="0" borderId="23" xfId="48" applyNumberFormat="1" applyFont="1" applyFill="1" applyBorder="1" applyAlignment="1">
      <alignment horizontal="center" vertical="top" wrapText="1"/>
    </xf>
    <xf numFmtId="4" fontId="30" fillId="0" borderId="23" xfId="60" applyNumberFormat="1" applyFont="1" applyFill="1" applyBorder="1" applyAlignment="1">
      <alignment horizontal="center" vertical="top" wrapText="1"/>
    </xf>
    <xf numFmtId="39" fontId="30" fillId="0" borderId="29" xfId="0" applyNumberFormat="1" applyFont="1" applyFill="1" applyBorder="1" applyAlignment="1">
      <alignment horizontal="center" vertical="top" wrapText="1"/>
    </xf>
    <xf numFmtId="4" fontId="0" fillId="0" borderId="0" xfId="0" applyNumberFormat="1" applyAlignment="1">
      <alignment/>
    </xf>
    <xf numFmtId="43" fontId="0" fillId="0" borderId="0" xfId="0" applyNumberFormat="1" applyAlignment="1">
      <alignment/>
    </xf>
    <xf numFmtId="0" fontId="7" fillId="0" borderId="0" xfId="55" applyFont="1" applyFill="1" applyAlignment="1">
      <alignment horizontal="left"/>
      <protection/>
    </xf>
    <xf numFmtId="0" fontId="26" fillId="0" borderId="0" xfId="56" applyFont="1" applyFill="1" applyAlignment="1">
      <alignment horizontal="left"/>
      <protection/>
    </xf>
    <xf numFmtId="178" fontId="26" fillId="0" borderId="0" xfId="50" applyFont="1" applyFill="1" applyAlignment="1">
      <alignment horizontal="left"/>
    </xf>
    <xf numFmtId="0" fontId="149" fillId="0" borderId="0" xfId="0" applyFont="1" applyFill="1" applyAlignment="1">
      <alignment horizontal="left"/>
    </xf>
    <xf numFmtId="0" fontId="114" fillId="0" borderId="0" xfId="0" applyFont="1" applyFill="1" applyAlignment="1">
      <alignment/>
    </xf>
    <xf numFmtId="178" fontId="2" fillId="0" borderId="0" xfId="50" applyFont="1" applyFill="1" applyBorder="1" applyAlignment="1">
      <alignment horizontal="right"/>
    </xf>
    <xf numFmtId="0" fontId="115" fillId="0" borderId="0" xfId="0" applyFont="1" applyFill="1" applyAlignment="1">
      <alignment/>
    </xf>
    <xf numFmtId="0" fontId="13" fillId="0" borderId="0" xfId="56" applyFont="1" applyFill="1" applyAlignment="1">
      <alignment horizontal="left"/>
      <protection/>
    </xf>
    <xf numFmtId="39" fontId="13" fillId="0" borderId="0" xfId="56" applyNumberFormat="1" applyFont="1" applyFill="1" applyAlignment="1">
      <alignment horizontal="left"/>
      <protection/>
    </xf>
    <xf numFmtId="178" fontId="13" fillId="0" borderId="0" xfId="50" applyFont="1" applyFill="1" applyAlignment="1">
      <alignment horizontal="left"/>
    </xf>
    <xf numFmtId="0" fontId="115" fillId="0" borderId="0" xfId="0" applyFont="1" applyFill="1" applyAlignment="1">
      <alignment horizontal="left"/>
    </xf>
    <xf numFmtId="0" fontId="150" fillId="0" borderId="0" xfId="0" applyFont="1" applyFill="1" applyAlignment="1">
      <alignment/>
    </xf>
    <xf numFmtId="0" fontId="151" fillId="0" borderId="0" xfId="0" applyFont="1" applyFill="1" applyAlignment="1">
      <alignment vertical="center"/>
    </xf>
    <xf numFmtId="0" fontId="25" fillId="0" borderId="0" xfId="56" applyFont="1" applyFill="1" applyAlignment="1">
      <alignment horizontal="left"/>
      <protection/>
    </xf>
    <xf numFmtId="178" fontId="25" fillId="0" borderId="0" xfId="50" applyFont="1" applyFill="1" applyAlignment="1">
      <alignment horizontal="left"/>
    </xf>
    <xf numFmtId="0" fontId="152" fillId="0" borderId="0" xfId="0" applyFont="1" applyFill="1" applyAlignment="1">
      <alignment horizontal="left"/>
    </xf>
    <xf numFmtId="0" fontId="150" fillId="0" borderId="0" xfId="0" applyFont="1" applyFill="1" applyAlignment="1">
      <alignment horizontal="left"/>
    </xf>
    <xf numFmtId="0" fontId="0" fillId="0" borderId="0" xfId="0" applyFont="1" applyFill="1" applyAlignment="1">
      <alignment/>
    </xf>
    <xf numFmtId="0" fontId="111" fillId="0" borderId="0" xfId="0" applyFont="1" applyAlignment="1">
      <alignment horizontal="left"/>
    </xf>
    <xf numFmtId="4" fontId="0" fillId="0" borderId="29" xfId="0" applyNumberFormat="1" applyBorder="1" applyAlignment="1">
      <alignment/>
    </xf>
    <xf numFmtId="39" fontId="0" fillId="0" borderId="23" xfId="0" applyNumberFormat="1" applyFont="1" applyBorder="1" applyAlignment="1">
      <alignment/>
    </xf>
    <xf numFmtId="39" fontId="0" fillId="0" borderId="29" xfId="0" applyNumberFormat="1" applyFont="1" applyBorder="1" applyAlignment="1">
      <alignment/>
    </xf>
    <xf numFmtId="0" fontId="0" fillId="0" borderId="32" xfId="0" applyBorder="1" applyAlignment="1">
      <alignment/>
    </xf>
    <xf numFmtId="0" fontId="90" fillId="0" borderId="0" xfId="0" applyFont="1" applyFill="1" applyAlignment="1">
      <alignment/>
    </xf>
    <xf numFmtId="43" fontId="13" fillId="0" borderId="0" xfId="0" applyNumberFormat="1" applyFont="1" applyFill="1" applyAlignment="1">
      <alignment/>
    </xf>
    <xf numFmtId="181" fontId="94" fillId="34" borderId="0" xfId="0" applyNumberFormat="1" applyFont="1" applyFill="1" applyAlignment="1">
      <alignment/>
    </xf>
    <xf numFmtId="0" fontId="7" fillId="0" borderId="0" xfId="55" applyFont="1" applyFill="1">
      <alignment/>
      <protection/>
    </xf>
    <xf numFmtId="0" fontId="7" fillId="0" borderId="0" xfId="55" applyFont="1" applyFill="1" applyAlignment="1">
      <alignment horizontal="center"/>
      <protection/>
    </xf>
    <xf numFmtId="39" fontId="24" fillId="0" borderId="0" xfId="55" applyNumberFormat="1" applyFont="1" applyFill="1">
      <alignment/>
      <protection/>
    </xf>
    <xf numFmtId="39" fontId="9" fillId="0" borderId="10" xfId="55" applyNumberFormat="1" applyFont="1" applyFill="1" applyBorder="1" applyAlignment="1">
      <alignment horizontal="right"/>
      <protection/>
    </xf>
    <xf numFmtId="39" fontId="0" fillId="0" borderId="0" xfId="0" applyNumberFormat="1" applyFont="1" applyFill="1" applyAlignment="1">
      <alignment/>
    </xf>
    <xf numFmtId="0" fontId="0" fillId="0" borderId="0" xfId="0" applyAlignment="1">
      <alignment/>
    </xf>
    <xf numFmtId="0" fontId="0" fillId="0" borderId="0" xfId="0" applyFill="1" applyAlignment="1">
      <alignment/>
    </xf>
    <xf numFmtId="39" fontId="0" fillId="0" borderId="0" xfId="0" applyNumberFormat="1" applyAlignment="1">
      <alignment/>
    </xf>
    <xf numFmtId="39" fontId="0" fillId="0" borderId="0" xfId="0" applyNumberFormat="1" applyFill="1" applyAlignment="1">
      <alignment/>
    </xf>
    <xf numFmtId="39" fontId="115" fillId="0" borderId="0" xfId="0" applyNumberFormat="1" applyFont="1" applyFill="1" applyAlignment="1">
      <alignment/>
    </xf>
    <xf numFmtId="39" fontId="0" fillId="0" borderId="0" xfId="0" applyNumberFormat="1" applyFont="1" applyAlignment="1">
      <alignment/>
    </xf>
    <xf numFmtId="0" fontId="117" fillId="0" borderId="0" xfId="0" applyFont="1" applyFill="1" applyAlignment="1">
      <alignment/>
    </xf>
    <xf numFmtId="0" fontId="94" fillId="0" borderId="0" xfId="0" applyFont="1" applyFill="1" applyAlignment="1">
      <alignment/>
    </xf>
    <xf numFmtId="4" fontId="0" fillId="0" borderId="0" xfId="0" applyNumberFormat="1" applyFill="1" applyAlignment="1">
      <alignment/>
    </xf>
    <xf numFmtId="41" fontId="128" fillId="0" borderId="0" xfId="0" applyNumberFormat="1" applyFont="1" applyFill="1" applyAlignment="1">
      <alignment vertical="center"/>
    </xf>
    <xf numFmtId="0" fontId="0" fillId="0" borderId="23" xfId="0" applyBorder="1" applyAlignment="1">
      <alignment/>
    </xf>
    <xf numFmtId="39" fontId="0" fillId="0" borderId="23" xfId="0" applyNumberFormat="1" applyBorder="1" applyAlignment="1">
      <alignment/>
    </xf>
    <xf numFmtId="41" fontId="128" fillId="0" borderId="0" xfId="0" applyNumberFormat="1" applyFont="1" applyFill="1" applyBorder="1" applyAlignment="1">
      <alignment vertical="center"/>
    </xf>
    <xf numFmtId="41" fontId="128" fillId="0" borderId="13" xfId="0" applyNumberFormat="1" applyFont="1" applyFill="1" applyBorder="1" applyAlignment="1">
      <alignment vertical="center"/>
    </xf>
    <xf numFmtId="14" fontId="0" fillId="0" borderId="23" xfId="0" applyNumberFormat="1" applyBorder="1" applyAlignment="1">
      <alignment/>
    </xf>
    <xf numFmtId="0" fontId="0" fillId="0" borderId="23" xfId="0" applyFill="1" applyBorder="1" applyAlignment="1">
      <alignment/>
    </xf>
    <xf numFmtId="183" fontId="0" fillId="0" borderId="23" xfId="0" applyNumberFormat="1" applyBorder="1" applyAlignment="1">
      <alignment/>
    </xf>
    <xf numFmtId="4" fontId="0" fillId="0" borderId="23" xfId="0" applyNumberFormat="1" applyBorder="1" applyAlignment="1">
      <alignment/>
    </xf>
    <xf numFmtId="14" fontId="0" fillId="0" borderId="23" xfId="0" applyNumberFormat="1" applyFill="1" applyBorder="1" applyAlignment="1">
      <alignment/>
    </xf>
    <xf numFmtId="4" fontId="0" fillId="0" borderId="23" xfId="0" applyNumberFormat="1" applyFill="1" applyBorder="1" applyAlignment="1">
      <alignment/>
    </xf>
    <xf numFmtId="43" fontId="115" fillId="0" borderId="0" xfId="0" applyNumberFormat="1" applyFont="1" applyFill="1" applyAlignment="1">
      <alignment/>
    </xf>
    <xf numFmtId="179" fontId="0" fillId="0" borderId="0" xfId="0" applyNumberFormat="1" applyFill="1" applyAlignment="1">
      <alignment/>
    </xf>
    <xf numFmtId="185" fontId="0" fillId="0" borderId="0" xfId="0" applyNumberFormat="1" applyFill="1" applyAlignment="1">
      <alignment/>
    </xf>
    <xf numFmtId="0" fontId="0" fillId="33" borderId="23" xfId="0" applyFill="1" applyBorder="1" applyAlignment="1">
      <alignment/>
    </xf>
    <xf numFmtId="0" fontId="7" fillId="0" borderId="13" xfId="55" applyFont="1" applyFill="1" applyBorder="1" applyAlignment="1">
      <alignment horizontal="center"/>
      <protection/>
    </xf>
    <xf numFmtId="41" fontId="153" fillId="0" borderId="0" xfId="0" applyNumberFormat="1" applyFont="1" applyFill="1" applyBorder="1" applyAlignment="1">
      <alignment vertical="center"/>
    </xf>
    <xf numFmtId="41" fontId="153" fillId="0" borderId="0" xfId="0" applyNumberFormat="1" applyFont="1" applyBorder="1" applyAlignment="1">
      <alignment vertical="center"/>
    </xf>
    <xf numFmtId="197" fontId="0" fillId="0" borderId="23" xfId="0" applyNumberFormat="1" applyBorder="1" applyAlignment="1">
      <alignment wrapText="1"/>
    </xf>
    <xf numFmtId="14" fontId="0" fillId="0" borderId="23" xfId="0" applyNumberFormat="1" applyBorder="1" applyAlignment="1">
      <alignment horizontal="right"/>
    </xf>
    <xf numFmtId="185" fontId="94" fillId="0" borderId="0" xfId="0" applyNumberFormat="1" applyFont="1" applyFill="1" applyAlignment="1">
      <alignment/>
    </xf>
    <xf numFmtId="0" fontId="138" fillId="34" borderId="0" xfId="0" applyFont="1" applyFill="1" applyAlignment="1">
      <alignment/>
    </xf>
    <xf numFmtId="189" fontId="94" fillId="34" borderId="0" xfId="0" applyNumberFormat="1" applyFont="1" applyFill="1" applyAlignment="1">
      <alignment/>
    </xf>
    <xf numFmtId="205" fontId="94" fillId="34" borderId="0" xfId="0" applyNumberFormat="1" applyFont="1" applyFill="1" applyAlignment="1">
      <alignment/>
    </xf>
    <xf numFmtId="39" fontId="94" fillId="34" borderId="0" xfId="0" applyNumberFormat="1" applyFont="1" applyFill="1" applyAlignment="1">
      <alignment/>
    </xf>
    <xf numFmtId="4" fontId="94" fillId="34" borderId="0" xfId="0" applyNumberFormat="1" applyFont="1" applyFill="1" applyAlignment="1">
      <alignment/>
    </xf>
    <xf numFmtId="43" fontId="94" fillId="34" borderId="0" xfId="0" applyNumberFormat="1" applyFont="1" applyFill="1" applyAlignment="1">
      <alignment/>
    </xf>
    <xf numFmtId="41" fontId="128" fillId="34" borderId="0" xfId="0" applyNumberFormat="1" applyFont="1" applyFill="1" applyBorder="1" applyAlignment="1">
      <alignment/>
    </xf>
    <xf numFmtId="0" fontId="30" fillId="34" borderId="23" xfId="0" applyFont="1" applyFill="1" applyBorder="1" applyAlignment="1">
      <alignment horizontal="left" vertical="top" wrapText="1"/>
    </xf>
    <xf numFmtId="37" fontId="128" fillId="0" borderId="0" xfId="0" applyNumberFormat="1" applyFont="1" applyFill="1" applyBorder="1" applyAlignment="1">
      <alignment/>
    </xf>
    <xf numFmtId="37" fontId="128" fillId="0" borderId="0" xfId="0" applyNumberFormat="1" applyFont="1" applyFill="1" applyBorder="1" applyAlignment="1">
      <alignment horizontal="left" vertical="center" indent="5"/>
    </xf>
    <xf numFmtId="37" fontId="128" fillId="0" borderId="0" xfId="0" applyNumberFormat="1" applyFont="1" applyFill="1" applyBorder="1" applyAlignment="1">
      <alignment vertical="center"/>
    </xf>
    <xf numFmtId="37" fontId="128" fillId="0" borderId="13" xfId="0" applyNumberFormat="1" applyFont="1" applyFill="1" applyBorder="1" applyAlignment="1">
      <alignment/>
    </xf>
    <xf numFmtId="37" fontId="128" fillId="0" borderId="13" xfId="0" applyNumberFormat="1" applyFont="1" applyFill="1" applyBorder="1" applyAlignment="1">
      <alignment vertical="center"/>
    </xf>
    <xf numFmtId="37" fontId="129" fillId="0" borderId="11" xfId="0" applyNumberFormat="1" applyFont="1" applyFill="1" applyBorder="1" applyAlignment="1">
      <alignment/>
    </xf>
    <xf numFmtId="37" fontId="129" fillId="0" borderId="11" xfId="0" applyNumberFormat="1" applyFont="1" applyFill="1" applyBorder="1" applyAlignment="1">
      <alignment horizontal="left" vertical="center" indent="5"/>
    </xf>
    <xf numFmtId="37" fontId="129" fillId="0" borderId="11" xfId="0" applyNumberFormat="1" applyFont="1" applyFill="1" applyBorder="1" applyAlignment="1">
      <alignment vertical="center"/>
    </xf>
    <xf numFmtId="37" fontId="128" fillId="0" borderId="0" xfId="0" applyNumberFormat="1" applyFont="1" applyFill="1" applyBorder="1" applyAlignment="1">
      <alignment/>
    </xf>
    <xf numFmtId="37" fontId="128" fillId="0" borderId="0" xfId="0" applyNumberFormat="1" applyFont="1" applyBorder="1" applyAlignment="1">
      <alignment/>
    </xf>
    <xf numFmtId="37" fontId="128" fillId="0" borderId="0" xfId="0" applyNumberFormat="1" applyFont="1" applyBorder="1" applyAlignment="1">
      <alignment horizontal="left" vertical="center" indent="5"/>
    </xf>
    <xf numFmtId="37" fontId="128" fillId="0" borderId="0" xfId="0" applyNumberFormat="1" applyFont="1" applyBorder="1" applyAlignment="1">
      <alignment vertical="center"/>
    </xf>
    <xf numFmtId="37" fontId="128" fillId="0" borderId="13" xfId="0" applyNumberFormat="1" applyFont="1" applyBorder="1" applyAlignment="1">
      <alignment/>
    </xf>
    <xf numFmtId="37" fontId="128" fillId="0" borderId="13" xfId="0" applyNumberFormat="1" applyFont="1" applyBorder="1" applyAlignment="1">
      <alignment vertical="center"/>
    </xf>
    <xf numFmtId="37" fontId="144" fillId="0" borderId="11" xfId="0" applyNumberFormat="1" applyFont="1" applyFill="1" applyBorder="1" applyAlignment="1">
      <alignment horizontal="left" vertical="center" indent="4"/>
    </xf>
    <xf numFmtId="37" fontId="128" fillId="0" borderId="11" xfId="0" applyNumberFormat="1" applyFont="1" applyFill="1" applyBorder="1" applyAlignment="1">
      <alignment/>
    </xf>
    <xf numFmtId="37" fontId="128" fillId="0" borderId="11" xfId="0" applyNumberFormat="1" applyFont="1" applyFill="1" applyBorder="1" applyAlignment="1">
      <alignment vertical="center"/>
    </xf>
    <xf numFmtId="37" fontId="128" fillId="0" borderId="0" xfId="0" applyNumberFormat="1" applyFont="1" applyBorder="1" applyAlignment="1">
      <alignment/>
    </xf>
    <xf numFmtId="0" fontId="30" fillId="0" borderId="0" xfId="0" applyFont="1" applyFill="1" applyBorder="1" applyAlignment="1">
      <alignment vertical="center"/>
    </xf>
    <xf numFmtId="39" fontId="112" fillId="0" borderId="11" xfId="0" applyNumberFormat="1" applyFont="1" applyFill="1" applyBorder="1" applyAlignment="1">
      <alignment/>
    </xf>
    <xf numFmtId="0" fontId="9" fillId="0" borderId="0" xfId="55" applyFont="1" applyFill="1" applyBorder="1">
      <alignment/>
      <protection/>
    </xf>
    <xf numFmtId="39" fontId="9" fillId="0" borderId="10" xfId="55" applyNumberFormat="1" applyFont="1" applyFill="1" applyBorder="1">
      <alignment/>
      <protection/>
    </xf>
    <xf numFmtId="39" fontId="9" fillId="0" borderId="0" xfId="55" applyNumberFormat="1" applyFont="1" applyFill="1" applyBorder="1" applyAlignment="1">
      <alignment horizontal="right"/>
      <protection/>
    </xf>
    <xf numFmtId="41" fontId="128" fillId="0" borderId="13" xfId="0" applyNumberFormat="1" applyFont="1" applyFill="1" applyBorder="1" applyAlignment="1">
      <alignment/>
    </xf>
    <xf numFmtId="39" fontId="29" fillId="0" borderId="23" xfId="51" applyNumberFormat="1" applyFont="1" applyFill="1" applyBorder="1" applyAlignment="1">
      <alignment horizontal="center" vertical="top" wrapText="1"/>
    </xf>
    <xf numFmtId="39" fontId="29" fillId="0" borderId="29" xfId="51" applyNumberFormat="1" applyFont="1" applyFill="1" applyBorder="1" applyAlignment="1">
      <alignment horizontal="center" vertical="top" wrapText="1"/>
    </xf>
    <xf numFmtId="4" fontId="30" fillId="0" borderId="23" xfId="51" applyNumberFormat="1" applyFont="1" applyFill="1" applyBorder="1" applyAlignment="1">
      <alignment horizontal="center" vertical="top" wrapText="1"/>
    </xf>
    <xf numFmtId="39" fontId="30" fillId="0" borderId="29" xfId="51" applyNumberFormat="1" applyFont="1" applyFill="1" applyBorder="1" applyAlignment="1">
      <alignment horizontal="center" vertical="top" wrapText="1"/>
    </xf>
    <xf numFmtId="4" fontId="29" fillId="0" borderId="23" xfId="51" applyNumberFormat="1" applyFont="1" applyFill="1" applyBorder="1" applyAlignment="1">
      <alignment horizontal="center" vertical="top" wrapText="1"/>
    </xf>
    <xf numFmtId="4" fontId="30" fillId="34" borderId="23" xfId="51" applyNumberFormat="1" applyFont="1" applyFill="1" applyBorder="1" applyAlignment="1">
      <alignment horizontal="center" vertical="top" wrapText="1"/>
    </xf>
    <xf numFmtId="4" fontId="30" fillId="0" borderId="23" xfId="51" applyNumberFormat="1" applyFont="1" applyFill="1" applyBorder="1" applyAlignment="1">
      <alignment horizontal="center" vertical="center" wrapText="1"/>
    </xf>
    <xf numFmtId="4" fontId="29" fillId="0" borderId="30" xfId="51" applyNumberFormat="1" applyFont="1" applyFill="1" applyBorder="1" applyAlignment="1">
      <alignment horizontal="center" vertical="top" wrapText="1"/>
    </xf>
    <xf numFmtId="39" fontId="29" fillId="0" borderId="31" xfId="51" applyNumberFormat="1" applyFont="1" applyFill="1" applyBorder="1" applyAlignment="1">
      <alignment horizontal="center" vertical="top" wrapText="1"/>
    </xf>
    <xf numFmtId="0" fontId="29" fillId="0" borderId="0" xfId="51" applyFont="1" applyFill="1" applyBorder="1" applyAlignment="1">
      <alignment horizontal="center" vertical="top" wrapText="1"/>
    </xf>
    <xf numFmtId="4" fontId="106" fillId="34" borderId="0" xfId="0" applyNumberFormat="1" applyFont="1" applyFill="1" applyAlignment="1">
      <alignment/>
    </xf>
    <xf numFmtId="0" fontId="106" fillId="0" borderId="0" xfId="48" applyFont="1" applyFill="1" applyAlignment="1">
      <alignment/>
    </xf>
    <xf numFmtId="0" fontId="154" fillId="0" borderId="0" xfId="0" applyFont="1" applyFill="1" applyAlignment="1">
      <alignment horizontal="center"/>
    </xf>
    <xf numFmtId="0" fontId="106" fillId="0" borderId="0" xfId="0" applyFont="1" applyFill="1" applyAlignment="1">
      <alignment horizontal="center" wrapText="1"/>
    </xf>
    <xf numFmtId="0" fontId="106" fillId="0" borderId="0" xfId="0" applyFont="1" applyFill="1" applyAlignment="1">
      <alignment horizontal="center"/>
    </xf>
    <xf numFmtId="39" fontId="106" fillId="0" borderId="0" xfId="0" applyNumberFormat="1" applyFont="1" applyFill="1" applyAlignment="1">
      <alignment/>
    </xf>
    <xf numFmtId="0" fontId="154" fillId="0" borderId="0" xfId="0" applyFont="1" applyFill="1" applyAlignment="1">
      <alignment horizontal="center" wrapText="1"/>
    </xf>
    <xf numFmtId="180" fontId="106" fillId="0" borderId="0" xfId="0" applyNumberFormat="1" applyFont="1" applyFill="1" applyAlignment="1">
      <alignment/>
    </xf>
    <xf numFmtId="0" fontId="14" fillId="0" borderId="0" xfId="55" applyFont="1" applyFill="1">
      <alignment/>
      <protection/>
    </xf>
    <xf numFmtId="0" fontId="14" fillId="34" borderId="0" xfId="55" applyFont="1" applyFill="1">
      <alignment/>
      <protection/>
    </xf>
    <xf numFmtId="0" fontId="14" fillId="0" borderId="0" xfId="55" applyFont="1">
      <alignment/>
      <protection/>
    </xf>
    <xf numFmtId="0" fontId="155" fillId="34" borderId="0" xfId="55" applyFont="1" applyFill="1">
      <alignment/>
      <protection/>
    </xf>
    <xf numFmtId="0" fontId="14" fillId="34" borderId="0" xfId="48" applyFont="1" applyFill="1" applyAlignment="1">
      <alignment/>
    </xf>
    <xf numFmtId="0" fontId="27" fillId="0" borderId="0" xfId="55" applyFont="1">
      <alignment/>
      <protection/>
    </xf>
    <xf numFmtId="0" fontId="12" fillId="0" borderId="0" xfId="55" applyFont="1">
      <alignment/>
      <protection/>
    </xf>
    <xf numFmtId="0" fontId="12" fillId="0" borderId="0" xfId="55" applyFont="1" applyFill="1">
      <alignment/>
      <protection/>
    </xf>
    <xf numFmtId="8" fontId="12" fillId="0" borderId="0" xfId="55" applyNumberFormat="1" applyFont="1">
      <alignment/>
      <protection/>
    </xf>
    <xf numFmtId="0" fontId="27" fillId="0" borderId="0" xfId="55" applyFont="1" applyFill="1">
      <alignment/>
      <protection/>
    </xf>
    <xf numFmtId="0" fontId="145" fillId="0" borderId="0" xfId="0" applyFont="1" applyBorder="1" applyAlignment="1">
      <alignment horizontal="center" vertical="center"/>
    </xf>
    <xf numFmtId="0" fontId="153" fillId="0" borderId="33" xfId="0" applyFont="1" applyFill="1" applyBorder="1" applyAlignment="1">
      <alignment horizontal="left" vertical="center"/>
    </xf>
    <xf numFmtId="0" fontId="153" fillId="0" borderId="17" xfId="0" applyFont="1" applyFill="1" applyBorder="1" applyAlignment="1">
      <alignment horizontal="left" vertical="center"/>
    </xf>
    <xf numFmtId="0" fontId="153" fillId="0" borderId="34" xfId="0" applyFont="1" applyFill="1" applyBorder="1" applyAlignment="1">
      <alignment horizontal="left" vertical="center"/>
    </xf>
    <xf numFmtId="0" fontId="129" fillId="0" borderId="0" xfId="0" applyFont="1" applyBorder="1" applyAlignment="1">
      <alignment horizontal="left" vertical="center"/>
    </xf>
    <xf numFmtId="0" fontId="7" fillId="0" borderId="13" xfId="55" applyFont="1" applyBorder="1" applyAlignment="1">
      <alignment horizontal="center"/>
      <protection/>
    </xf>
    <xf numFmtId="0" fontId="7" fillId="0" borderId="13" xfId="55" applyFont="1" applyBorder="1" applyAlignment="1">
      <alignment/>
      <protection/>
    </xf>
    <xf numFmtId="0" fontId="14" fillId="0" borderId="0" xfId="55" applyFont="1" applyBorder="1" applyAlignment="1">
      <alignment horizontal="left"/>
      <protection/>
    </xf>
    <xf numFmtId="0" fontId="154" fillId="0" borderId="0" xfId="0" applyFont="1" applyFill="1" applyAlignment="1">
      <alignment horizontal="center"/>
    </xf>
    <xf numFmtId="0" fontId="125" fillId="0" borderId="0" xfId="0" applyFont="1" applyAlignment="1">
      <alignment horizontal="left" wrapText="1"/>
    </xf>
    <xf numFmtId="0" fontId="111" fillId="0" borderId="13" xfId="0" applyFont="1" applyFill="1" applyBorder="1" applyAlignment="1">
      <alignment horizontal="center"/>
    </xf>
    <xf numFmtId="0" fontId="111" fillId="0" borderId="0" xfId="0" applyFont="1" applyFill="1" applyBorder="1" applyAlignment="1">
      <alignment horizontal="center"/>
    </xf>
    <xf numFmtId="0" fontId="11" fillId="0" borderId="0" xfId="0" applyFont="1" applyFill="1" applyAlignment="1">
      <alignment horizontal="center"/>
    </xf>
    <xf numFmtId="0" fontId="129" fillId="0" borderId="0" xfId="0" applyFont="1" applyFill="1" applyBorder="1" applyAlignment="1">
      <alignment horizontal="left" vertical="center"/>
    </xf>
    <xf numFmtId="0" fontId="23" fillId="0" borderId="0" xfId="0" applyFont="1" applyFill="1" applyBorder="1" applyAlignment="1">
      <alignment horizontal="left" vertical="center" wrapText="1"/>
    </xf>
    <xf numFmtId="0" fontId="132" fillId="0" borderId="35" xfId="0" applyFont="1" applyFill="1" applyBorder="1" applyAlignment="1">
      <alignment horizontal="center" vertical="center"/>
    </xf>
    <xf numFmtId="0" fontId="132" fillId="0" borderId="36" xfId="0" applyFont="1" applyFill="1" applyBorder="1" applyAlignment="1">
      <alignment horizontal="center" vertical="center"/>
    </xf>
    <xf numFmtId="0" fontId="132" fillId="0" borderId="37" xfId="0" applyFont="1" applyFill="1" applyBorder="1" applyAlignment="1">
      <alignment horizontal="center" vertical="center"/>
    </xf>
    <xf numFmtId="0" fontId="132" fillId="0" borderId="38" xfId="0" applyFont="1" applyFill="1" applyBorder="1" applyAlignment="1">
      <alignment horizontal="center" vertical="center"/>
    </xf>
    <xf numFmtId="0" fontId="132" fillId="0" borderId="39" xfId="0" applyFont="1" applyFill="1" applyBorder="1" applyAlignment="1">
      <alignment horizontal="center" vertical="center"/>
    </xf>
    <xf numFmtId="0" fontId="132" fillId="0" borderId="40" xfId="0" applyFont="1" applyFill="1" applyBorder="1" applyAlignment="1">
      <alignment horizontal="center" vertical="center"/>
    </xf>
    <xf numFmtId="0" fontId="133" fillId="0" borderId="41" xfId="0" applyFont="1" applyFill="1" applyBorder="1" applyAlignment="1">
      <alignment horizontal="center" vertical="center"/>
    </xf>
    <xf numFmtId="0" fontId="133" fillId="0" borderId="20" xfId="0" applyFont="1" applyFill="1" applyBorder="1" applyAlignment="1">
      <alignment horizontal="center" vertical="center"/>
    </xf>
    <xf numFmtId="0" fontId="133" fillId="0" borderId="42" xfId="0" applyFont="1" applyFill="1" applyBorder="1" applyAlignment="1">
      <alignment horizontal="center" vertical="center"/>
    </xf>
    <xf numFmtId="0" fontId="133" fillId="0" borderId="35" xfId="0" applyFont="1" applyFill="1" applyBorder="1" applyAlignment="1">
      <alignment horizontal="center" vertical="center"/>
    </xf>
    <xf numFmtId="0" fontId="133" fillId="0" borderId="36" xfId="0" applyFont="1" applyFill="1" applyBorder="1" applyAlignment="1">
      <alignment horizontal="center" vertical="center"/>
    </xf>
    <xf numFmtId="0" fontId="133" fillId="0" borderId="37" xfId="0" applyFont="1" applyFill="1" applyBorder="1" applyAlignment="1">
      <alignment horizontal="center" vertical="center"/>
    </xf>
    <xf numFmtId="0" fontId="29" fillId="0" borderId="28" xfId="0" applyFont="1" applyFill="1" applyBorder="1" applyAlignment="1">
      <alignment horizontal="left" vertical="center" wrapText="1"/>
    </xf>
    <xf numFmtId="0" fontId="29" fillId="0" borderId="23" xfId="0" applyFont="1" applyFill="1" applyBorder="1" applyAlignment="1">
      <alignment horizontal="left" vertical="center" wrapText="1"/>
    </xf>
    <xf numFmtId="0" fontId="7" fillId="0" borderId="0" xfId="55" applyFont="1" applyAlignment="1">
      <alignment horizontal="center"/>
      <protection/>
    </xf>
    <xf numFmtId="0" fontId="5" fillId="0" borderId="0" xfId="0" applyFont="1" applyFill="1" applyAlignment="1">
      <alignment horizontal="center"/>
    </xf>
    <xf numFmtId="0" fontId="22" fillId="0" borderId="0" xfId="56" applyFont="1" applyAlignment="1">
      <alignment horizontal="left"/>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Currency" xfId="52"/>
    <cellStyle name="Currency [0]" xfId="53"/>
    <cellStyle name="Neutral" xfId="54"/>
    <cellStyle name="Normal 2" xfId="55"/>
    <cellStyle name="Normal 3" xfId="56"/>
    <cellStyle name="Notas" xfId="57"/>
    <cellStyle name="Notas 2" xfId="58"/>
    <cellStyle name="Notas 2 2"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jpeg" /></Relationships>
</file>

<file path=xl/drawings/_rels/drawing9.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809625</xdr:colOff>
      <xdr:row>60</xdr:row>
      <xdr:rowOff>114300</xdr:rowOff>
    </xdr:from>
    <xdr:to>
      <xdr:col>3</xdr:col>
      <xdr:colOff>685800</xdr:colOff>
      <xdr:row>61</xdr:row>
      <xdr:rowOff>38100</xdr:rowOff>
    </xdr:to>
    <xdr:pic>
      <xdr:nvPicPr>
        <xdr:cNvPr id="1" name="4 Imagen"/>
        <xdr:cNvPicPr preferRelativeResize="1">
          <a:picLocks noChangeAspect="1"/>
        </xdr:cNvPicPr>
      </xdr:nvPicPr>
      <xdr:blipFill>
        <a:blip r:embed="rId1"/>
        <a:stretch>
          <a:fillRect/>
        </a:stretch>
      </xdr:blipFill>
      <xdr:spPr>
        <a:xfrm>
          <a:off x="1257300" y="8572500"/>
          <a:ext cx="3429000" cy="114300"/>
        </a:xfrm>
        <a:prstGeom prst="rect">
          <a:avLst/>
        </a:prstGeom>
        <a:noFill/>
        <a:ln w="9525" cmpd="sng">
          <a:noFill/>
        </a:ln>
      </xdr:spPr>
    </xdr:pic>
    <xdr:clientData/>
  </xdr:twoCellAnchor>
  <xdr:twoCellAnchor editAs="oneCell">
    <xdr:from>
      <xdr:col>0</xdr:col>
      <xdr:colOff>0</xdr:colOff>
      <xdr:row>65</xdr:row>
      <xdr:rowOff>142875</xdr:rowOff>
    </xdr:from>
    <xdr:to>
      <xdr:col>1</xdr:col>
      <xdr:colOff>1885950</xdr:colOff>
      <xdr:row>66</xdr:row>
      <xdr:rowOff>28575</xdr:rowOff>
    </xdr:to>
    <xdr:pic>
      <xdr:nvPicPr>
        <xdr:cNvPr id="2" name="4 Imagen"/>
        <xdr:cNvPicPr preferRelativeResize="1">
          <a:picLocks noChangeAspect="1"/>
        </xdr:cNvPicPr>
      </xdr:nvPicPr>
      <xdr:blipFill>
        <a:blip r:embed="rId1"/>
        <a:stretch>
          <a:fillRect/>
        </a:stretch>
      </xdr:blipFill>
      <xdr:spPr>
        <a:xfrm>
          <a:off x="0" y="9553575"/>
          <a:ext cx="2333625" cy="76200"/>
        </a:xfrm>
        <a:prstGeom prst="rect">
          <a:avLst/>
        </a:prstGeom>
        <a:noFill/>
        <a:ln w="9525" cmpd="sng">
          <a:noFill/>
        </a:ln>
      </xdr:spPr>
    </xdr:pic>
    <xdr:clientData/>
  </xdr:twoCellAnchor>
  <xdr:twoCellAnchor editAs="oneCell">
    <xdr:from>
      <xdr:col>2</xdr:col>
      <xdr:colOff>0</xdr:colOff>
      <xdr:row>65</xdr:row>
      <xdr:rowOff>161925</xdr:rowOff>
    </xdr:from>
    <xdr:to>
      <xdr:col>8</xdr:col>
      <xdr:colOff>38100</xdr:colOff>
      <xdr:row>66</xdr:row>
      <xdr:rowOff>57150</xdr:rowOff>
    </xdr:to>
    <xdr:pic>
      <xdr:nvPicPr>
        <xdr:cNvPr id="3" name="4 Imagen"/>
        <xdr:cNvPicPr preferRelativeResize="1">
          <a:picLocks noChangeAspect="1"/>
        </xdr:cNvPicPr>
      </xdr:nvPicPr>
      <xdr:blipFill>
        <a:blip r:embed="rId1"/>
        <a:stretch>
          <a:fillRect/>
        </a:stretch>
      </xdr:blipFill>
      <xdr:spPr>
        <a:xfrm>
          <a:off x="3886200" y="9572625"/>
          <a:ext cx="2619375" cy="85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46</xdr:row>
      <xdr:rowOff>133350</xdr:rowOff>
    </xdr:from>
    <xdr:to>
      <xdr:col>1</xdr:col>
      <xdr:colOff>1828800</xdr:colOff>
      <xdr:row>47</xdr:row>
      <xdr:rowOff>19050</xdr:rowOff>
    </xdr:to>
    <xdr:pic>
      <xdr:nvPicPr>
        <xdr:cNvPr id="1" name="4 Imagen"/>
        <xdr:cNvPicPr preferRelativeResize="1">
          <a:picLocks noChangeAspect="1"/>
        </xdr:cNvPicPr>
      </xdr:nvPicPr>
      <xdr:blipFill>
        <a:blip r:embed="rId1"/>
        <a:stretch>
          <a:fillRect/>
        </a:stretch>
      </xdr:blipFill>
      <xdr:spPr>
        <a:xfrm>
          <a:off x="0" y="8782050"/>
          <a:ext cx="2371725" cy="76200"/>
        </a:xfrm>
        <a:prstGeom prst="rect">
          <a:avLst/>
        </a:prstGeom>
        <a:noFill/>
        <a:ln w="9525" cmpd="sng">
          <a:noFill/>
        </a:ln>
      </xdr:spPr>
    </xdr:pic>
    <xdr:clientData/>
  </xdr:twoCellAnchor>
  <xdr:twoCellAnchor editAs="oneCell">
    <xdr:from>
      <xdr:col>1</xdr:col>
      <xdr:colOff>3162300</xdr:colOff>
      <xdr:row>46</xdr:row>
      <xdr:rowOff>114300</xdr:rowOff>
    </xdr:from>
    <xdr:to>
      <xdr:col>5</xdr:col>
      <xdr:colOff>923925</xdr:colOff>
      <xdr:row>46</xdr:row>
      <xdr:rowOff>190500</xdr:rowOff>
    </xdr:to>
    <xdr:pic>
      <xdr:nvPicPr>
        <xdr:cNvPr id="2" name="4 Imagen"/>
        <xdr:cNvPicPr preferRelativeResize="1">
          <a:picLocks noChangeAspect="1"/>
        </xdr:cNvPicPr>
      </xdr:nvPicPr>
      <xdr:blipFill>
        <a:blip r:embed="rId1"/>
        <a:stretch>
          <a:fillRect/>
        </a:stretch>
      </xdr:blipFill>
      <xdr:spPr>
        <a:xfrm>
          <a:off x="3705225" y="8763000"/>
          <a:ext cx="2238375" cy="76200"/>
        </a:xfrm>
        <a:prstGeom prst="rect">
          <a:avLst/>
        </a:prstGeom>
        <a:noFill/>
        <a:ln w="9525" cmpd="sng">
          <a:noFill/>
        </a:ln>
      </xdr:spPr>
    </xdr:pic>
    <xdr:clientData/>
  </xdr:twoCellAnchor>
  <xdr:twoCellAnchor editAs="oneCell">
    <xdr:from>
      <xdr:col>1</xdr:col>
      <xdr:colOff>695325</xdr:colOff>
      <xdr:row>41</xdr:row>
      <xdr:rowOff>104775</xdr:rowOff>
    </xdr:from>
    <xdr:to>
      <xdr:col>4</xdr:col>
      <xdr:colOff>495300</xdr:colOff>
      <xdr:row>42</xdr:row>
      <xdr:rowOff>28575</xdr:rowOff>
    </xdr:to>
    <xdr:pic>
      <xdr:nvPicPr>
        <xdr:cNvPr id="3" name="5 Imagen"/>
        <xdr:cNvPicPr preferRelativeResize="1">
          <a:picLocks noChangeAspect="1"/>
        </xdr:cNvPicPr>
      </xdr:nvPicPr>
      <xdr:blipFill>
        <a:blip r:embed="rId2"/>
        <a:stretch>
          <a:fillRect/>
        </a:stretch>
      </xdr:blipFill>
      <xdr:spPr>
        <a:xfrm>
          <a:off x="1238250" y="7800975"/>
          <a:ext cx="3362325" cy="114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676275</xdr:colOff>
      <xdr:row>41</xdr:row>
      <xdr:rowOff>161925</xdr:rowOff>
    </xdr:from>
    <xdr:to>
      <xdr:col>12</xdr:col>
      <xdr:colOff>1095375</xdr:colOff>
      <xdr:row>42</xdr:row>
      <xdr:rowOff>114300</xdr:rowOff>
    </xdr:to>
    <xdr:pic>
      <xdr:nvPicPr>
        <xdr:cNvPr id="1" name="3 Imagen"/>
        <xdr:cNvPicPr preferRelativeResize="1">
          <a:picLocks noChangeAspect="1"/>
        </xdr:cNvPicPr>
      </xdr:nvPicPr>
      <xdr:blipFill>
        <a:blip r:embed="rId1"/>
        <a:stretch>
          <a:fillRect/>
        </a:stretch>
      </xdr:blipFill>
      <xdr:spPr>
        <a:xfrm>
          <a:off x="5915025" y="8782050"/>
          <a:ext cx="2705100" cy="142875"/>
        </a:xfrm>
        <a:prstGeom prst="rect">
          <a:avLst/>
        </a:prstGeom>
        <a:noFill/>
        <a:ln w="9525" cmpd="sng">
          <a:noFill/>
        </a:ln>
      </xdr:spPr>
    </xdr:pic>
    <xdr:clientData/>
  </xdr:twoCellAnchor>
  <xdr:twoCellAnchor editAs="oneCell">
    <xdr:from>
      <xdr:col>4</xdr:col>
      <xdr:colOff>257175</xdr:colOff>
      <xdr:row>36</xdr:row>
      <xdr:rowOff>66675</xdr:rowOff>
    </xdr:from>
    <xdr:to>
      <xdr:col>10</xdr:col>
      <xdr:colOff>200025</xdr:colOff>
      <xdr:row>36</xdr:row>
      <xdr:rowOff>180975</xdr:rowOff>
    </xdr:to>
    <xdr:pic>
      <xdr:nvPicPr>
        <xdr:cNvPr id="2" name="5 Imagen"/>
        <xdr:cNvPicPr preferRelativeResize="1">
          <a:picLocks noChangeAspect="1"/>
        </xdr:cNvPicPr>
      </xdr:nvPicPr>
      <xdr:blipFill>
        <a:blip r:embed="rId2"/>
        <a:stretch>
          <a:fillRect/>
        </a:stretch>
      </xdr:blipFill>
      <xdr:spPr>
        <a:xfrm>
          <a:off x="3114675" y="7734300"/>
          <a:ext cx="3400425" cy="114300"/>
        </a:xfrm>
        <a:prstGeom prst="rect">
          <a:avLst/>
        </a:prstGeom>
        <a:noFill/>
        <a:ln w="9525" cmpd="sng">
          <a:noFill/>
        </a:ln>
      </xdr:spPr>
    </xdr:pic>
    <xdr:clientData/>
  </xdr:twoCellAnchor>
  <xdr:twoCellAnchor editAs="oneCell">
    <xdr:from>
      <xdr:col>2</xdr:col>
      <xdr:colOff>0</xdr:colOff>
      <xdr:row>42</xdr:row>
      <xdr:rowOff>0</xdr:rowOff>
    </xdr:from>
    <xdr:to>
      <xdr:col>4</xdr:col>
      <xdr:colOff>190500</xdr:colOff>
      <xdr:row>42</xdr:row>
      <xdr:rowOff>142875</xdr:rowOff>
    </xdr:to>
    <xdr:pic>
      <xdr:nvPicPr>
        <xdr:cNvPr id="3" name="1 Imagen"/>
        <xdr:cNvPicPr preferRelativeResize="1">
          <a:picLocks noChangeAspect="1"/>
        </xdr:cNvPicPr>
      </xdr:nvPicPr>
      <xdr:blipFill>
        <a:blip r:embed="rId3"/>
        <a:stretch>
          <a:fillRect/>
        </a:stretch>
      </xdr:blipFill>
      <xdr:spPr>
        <a:xfrm>
          <a:off x="333375" y="8810625"/>
          <a:ext cx="2714625" cy="14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79</xdr:row>
      <xdr:rowOff>114300</xdr:rowOff>
    </xdr:from>
    <xdr:to>
      <xdr:col>4</xdr:col>
      <xdr:colOff>962025</xdr:colOff>
      <xdr:row>80</xdr:row>
      <xdr:rowOff>19050</xdr:rowOff>
    </xdr:to>
    <xdr:pic>
      <xdr:nvPicPr>
        <xdr:cNvPr id="1" name="12 Imagen"/>
        <xdr:cNvPicPr preferRelativeResize="1">
          <a:picLocks noChangeAspect="1"/>
        </xdr:cNvPicPr>
      </xdr:nvPicPr>
      <xdr:blipFill>
        <a:blip r:embed="rId1"/>
        <a:stretch>
          <a:fillRect/>
        </a:stretch>
      </xdr:blipFill>
      <xdr:spPr>
        <a:xfrm>
          <a:off x="4495800" y="9677400"/>
          <a:ext cx="3124200" cy="95250"/>
        </a:xfrm>
        <a:prstGeom prst="rect">
          <a:avLst/>
        </a:prstGeom>
        <a:noFill/>
        <a:ln w="9525" cmpd="sng">
          <a:noFill/>
        </a:ln>
      </xdr:spPr>
    </xdr:pic>
    <xdr:clientData/>
  </xdr:twoCellAnchor>
  <xdr:twoCellAnchor editAs="oneCell">
    <xdr:from>
      <xdr:col>1</xdr:col>
      <xdr:colOff>1600200</xdr:colOff>
      <xdr:row>73</xdr:row>
      <xdr:rowOff>76200</xdr:rowOff>
    </xdr:from>
    <xdr:to>
      <xdr:col>3</xdr:col>
      <xdr:colOff>942975</xdr:colOff>
      <xdr:row>73</xdr:row>
      <xdr:rowOff>190500</xdr:rowOff>
    </xdr:to>
    <xdr:pic>
      <xdr:nvPicPr>
        <xdr:cNvPr id="2" name="12 Imagen"/>
        <xdr:cNvPicPr preferRelativeResize="1">
          <a:picLocks noChangeAspect="1"/>
        </xdr:cNvPicPr>
      </xdr:nvPicPr>
      <xdr:blipFill>
        <a:blip r:embed="rId2"/>
        <a:stretch>
          <a:fillRect/>
        </a:stretch>
      </xdr:blipFill>
      <xdr:spPr>
        <a:xfrm>
          <a:off x="2362200" y="8496300"/>
          <a:ext cx="3638550" cy="114300"/>
        </a:xfrm>
        <a:prstGeom prst="rect">
          <a:avLst/>
        </a:prstGeom>
        <a:noFill/>
        <a:ln w="9525" cmpd="sng">
          <a:noFill/>
        </a:ln>
      </xdr:spPr>
    </xdr:pic>
    <xdr:clientData/>
  </xdr:twoCellAnchor>
  <xdr:twoCellAnchor editAs="oneCell">
    <xdr:from>
      <xdr:col>0</xdr:col>
      <xdr:colOff>0</xdr:colOff>
      <xdr:row>79</xdr:row>
      <xdr:rowOff>104775</xdr:rowOff>
    </xdr:from>
    <xdr:to>
      <xdr:col>1</xdr:col>
      <xdr:colOff>2390775</xdr:colOff>
      <xdr:row>79</xdr:row>
      <xdr:rowOff>190500</xdr:rowOff>
    </xdr:to>
    <xdr:pic>
      <xdr:nvPicPr>
        <xdr:cNvPr id="3" name="12 Imagen"/>
        <xdr:cNvPicPr preferRelativeResize="1">
          <a:picLocks noChangeAspect="1"/>
        </xdr:cNvPicPr>
      </xdr:nvPicPr>
      <xdr:blipFill>
        <a:blip r:embed="rId2"/>
        <a:stretch>
          <a:fillRect/>
        </a:stretch>
      </xdr:blipFill>
      <xdr:spPr>
        <a:xfrm>
          <a:off x="0" y="9667875"/>
          <a:ext cx="3152775" cy="85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2000250</xdr:colOff>
      <xdr:row>33</xdr:row>
      <xdr:rowOff>123825</xdr:rowOff>
    </xdr:from>
    <xdr:to>
      <xdr:col>4</xdr:col>
      <xdr:colOff>676275</xdr:colOff>
      <xdr:row>34</xdr:row>
      <xdr:rowOff>95250</xdr:rowOff>
    </xdr:to>
    <xdr:pic>
      <xdr:nvPicPr>
        <xdr:cNvPr id="1" name="4 Imagen"/>
        <xdr:cNvPicPr preferRelativeResize="1">
          <a:picLocks noChangeAspect="1"/>
        </xdr:cNvPicPr>
      </xdr:nvPicPr>
      <xdr:blipFill>
        <a:blip r:embed="rId1"/>
        <a:stretch>
          <a:fillRect/>
        </a:stretch>
      </xdr:blipFill>
      <xdr:spPr>
        <a:xfrm>
          <a:off x="2238375" y="6810375"/>
          <a:ext cx="3819525" cy="161925"/>
        </a:xfrm>
        <a:prstGeom prst="rect">
          <a:avLst/>
        </a:prstGeom>
        <a:noFill/>
        <a:ln w="9525" cmpd="sng">
          <a:noFill/>
        </a:ln>
      </xdr:spPr>
    </xdr:pic>
    <xdr:clientData/>
  </xdr:twoCellAnchor>
  <xdr:twoCellAnchor editAs="oneCell">
    <xdr:from>
      <xdr:col>1</xdr:col>
      <xdr:colOff>0</xdr:colOff>
      <xdr:row>38</xdr:row>
      <xdr:rowOff>95250</xdr:rowOff>
    </xdr:from>
    <xdr:to>
      <xdr:col>2</xdr:col>
      <xdr:colOff>161925</xdr:colOff>
      <xdr:row>38</xdr:row>
      <xdr:rowOff>190500</xdr:rowOff>
    </xdr:to>
    <xdr:pic>
      <xdr:nvPicPr>
        <xdr:cNvPr id="2" name="4 Imagen"/>
        <xdr:cNvPicPr preferRelativeResize="1">
          <a:picLocks noChangeAspect="1"/>
        </xdr:cNvPicPr>
      </xdr:nvPicPr>
      <xdr:blipFill>
        <a:blip r:embed="rId1"/>
        <a:stretch>
          <a:fillRect/>
        </a:stretch>
      </xdr:blipFill>
      <xdr:spPr>
        <a:xfrm>
          <a:off x="238125" y="7734300"/>
          <a:ext cx="2733675" cy="95250"/>
        </a:xfrm>
        <a:prstGeom prst="rect">
          <a:avLst/>
        </a:prstGeom>
        <a:noFill/>
        <a:ln w="9525" cmpd="sng">
          <a:noFill/>
        </a:ln>
      </xdr:spPr>
    </xdr:pic>
    <xdr:clientData/>
  </xdr:twoCellAnchor>
  <xdr:twoCellAnchor editAs="oneCell">
    <xdr:from>
      <xdr:col>3</xdr:col>
      <xdr:colOff>828675</xdr:colOff>
      <xdr:row>38</xdr:row>
      <xdr:rowOff>66675</xdr:rowOff>
    </xdr:from>
    <xdr:to>
      <xdr:col>5</xdr:col>
      <xdr:colOff>800100</xdr:colOff>
      <xdr:row>38</xdr:row>
      <xdr:rowOff>161925</xdr:rowOff>
    </xdr:to>
    <xdr:pic>
      <xdr:nvPicPr>
        <xdr:cNvPr id="3" name="4 Imagen"/>
        <xdr:cNvPicPr preferRelativeResize="1">
          <a:picLocks noChangeAspect="1"/>
        </xdr:cNvPicPr>
      </xdr:nvPicPr>
      <xdr:blipFill>
        <a:blip r:embed="rId1"/>
        <a:stretch>
          <a:fillRect/>
        </a:stretch>
      </xdr:blipFill>
      <xdr:spPr>
        <a:xfrm>
          <a:off x="4943475" y="7705725"/>
          <a:ext cx="2733675" cy="95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409575</xdr:colOff>
      <xdr:row>0</xdr:row>
      <xdr:rowOff>0</xdr:rowOff>
    </xdr:from>
    <xdr:to>
      <xdr:col>14</xdr:col>
      <xdr:colOff>1590675</xdr:colOff>
      <xdr:row>4</xdr:row>
      <xdr:rowOff>304800</xdr:rowOff>
    </xdr:to>
    <xdr:pic>
      <xdr:nvPicPr>
        <xdr:cNvPr id="1" name="Picture 1" descr="Macintosh SSD:Users:onapi:Desktop:TIMBRADO INSTITUCIONA a color con logo onapi.jpg"/>
        <xdr:cNvPicPr preferRelativeResize="1">
          <a:picLocks noChangeAspect="1"/>
        </xdr:cNvPicPr>
      </xdr:nvPicPr>
      <xdr:blipFill>
        <a:blip r:embed="rId1"/>
        <a:stretch>
          <a:fillRect/>
        </a:stretch>
      </xdr:blipFill>
      <xdr:spPr>
        <a:xfrm>
          <a:off x="2524125" y="0"/>
          <a:ext cx="4210050" cy="9906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1600200</xdr:colOff>
      <xdr:row>0</xdr:row>
      <xdr:rowOff>85725</xdr:rowOff>
    </xdr:from>
    <xdr:to>
      <xdr:col>8</xdr:col>
      <xdr:colOff>1333500</xdr:colOff>
      <xdr:row>4</xdr:row>
      <xdr:rowOff>152400</xdr:rowOff>
    </xdr:to>
    <xdr:pic>
      <xdr:nvPicPr>
        <xdr:cNvPr id="1" name="Picture 1" descr="Macintosh SSD:Users:onapi:Desktop:TIMBRADO INSTITUCIONA a color con logo onapi.jpg"/>
        <xdr:cNvPicPr preferRelativeResize="1">
          <a:picLocks noChangeAspect="1"/>
        </xdr:cNvPicPr>
      </xdr:nvPicPr>
      <xdr:blipFill>
        <a:blip r:embed="rId1"/>
        <a:stretch>
          <a:fillRect/>
        </a:stretch>
      </xdr:blipFill>
      <xdr:spPr>
        <a:xfrm>
          <a:off x="3019425" y="85725"/>
          <a:ext cx="4210050" cy="8286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2638425</xdr:colOff>
      <xdr:row>212</xdr:row>
      <xdr:rowOff>85725</xdr:rowOff>
    </xdr:from>
    <xdr:ext cx="190500" cy="266700"/>
    <xdr:sp fLocksText="0">
      <xdr:nvSpPr>
        <xdr:cNvPr id="1" name="1 CuadroTexto"/>
        <xdr:cNvSpPr txBox="1">
          <a:spLocks noChangeArrowheads="1"/>
        </xdr:cNvSpPr>
      </xdr:nvSpPr>
      <xdr:spPr>
        <a:xfrm>
          <a:off x="3009900" y="36928425"/>
          <a:ext cx="19050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3</xdr:row>
      <xdr:rowOff>0</xdr:rowOff>
    </xdr:to>
    <xdr:pic>
      <xdr:nvPicPr>
        <xdr:cNvPr id="1" name="Picture 1" descr="Macintosh SSD:Users:onapi:Desktop:TIMBRADO INSTITUCIONA a color con logo onapi.jpg"/>
        <xdr:cNvPicPr preferRelativeResize="1">
          <a:picLocks noChangeAspect="1"/>
        </xdr:cNvPicPr>
      </xdr:nvPicPr>
      <xdr:blipFill>
        <a:blip r:embed="rId1"/>
        <a:stretch>
          <a:fillRect/>
        </a:stretch>
      </xdr:blipFill>
      <xdr:spPr>
        <a:xfrm>
          <a:off x="0" y="0"/>
          <a:ext cx="2905125" cy="600075"/>
        </a:xfrm>
        <a:prstGeom prst="rect">
          <a:avLst/>
        </a:prstGeom>
        <a:noFill/>
        <a:ln w="9525" cmpd="sng">
          <a:noFill/>
        </a:ln>
      </xdr:spPr>
    </xdr:pic>
    <xdr:clientData/>
  </xdr:twoCellAnchor>
  <xdr:twoCellAnchor editAs="oneCell">
    <xdr:from>
      <xdr:col>3</xdr:col>
      <xdr:colOff>742950</xdr:colOff>
      <xdr:row>64</xdr:row>
      <xdr:rowOff>114300</xdr:rowOff>
    </xdr:from>
    <xdr:to>
      <xdr:col>5</xdr:col>
      <xdr:colOff>1019175</xdr:colOff>
      <xdr:row>65</xdr:row>
      <xdr:rowOff>57150</xdr:rowOff>
    </xdr:to>
    <xdr:pic>
      <xdr:nvPicPr>
        <xdr:cNvPr id="2" name="12 Imagen"/>
        <xdr:cNvPicPr preferRelativeResize="1">
          <a:picLocks noChangeAspect="1"/>
        </xdr:cNvPicPr>
      </xdr:nvPicPr>
      <xdr:blipFill>
        <a:blip r:embed="rId2"/>
        <a:stretch>
          <a:fillRect/>
        </a:stretch>
      </xdr:blipFill>
      <xdr:spPr>
        <a:xfrm>
          <a:off x="3648075" y="12668250"/>
          <a:ext cx="3819525" cy="133350"/>
        </a:xfrm>
        <a:prstGeom prst="rect">
          <a:avLst/>
        </a:prstGeom>
        <a:noFill/>
        <a:ln w="9525" cmpd="sng">
          <a:noFill/>
        </a:ln>
      </xdr:spPr>
    </xdr:pic>
    <xdr:clientData/>
  </xdr:twoCellAnchor>
  <xdr:twoCellAnchor editAs="oneCell">
    <xdr:from>
      <xdr:col>1</xdr:col>
      <xdr:colOff>66675</xdr:colOff>
      <xdr:row>71</xdr:row>
      <xdr:rowOff>104775</xdr:rowOff>
    </xdr:from>
    <xdr:to>
      <xdr:col>3</xdr:col>
      <xdr:colOff>971550</xdr:colOff>
      <xdr:row>72</xdr:row>
      <xdr:rowOff>47625</xdr:rowOff>
    </xdr:to>
    <xdr:pic>
      <xdr:nvPicPr>
        <xdr:cNvPr id="3" name="12 Imagen"/>
        <xdr:cNvPicPr preferRelativeResize="1">
          <a:picLocks noChangeAspect="1"/>
        </xdr:cNvPicPr>
      </xdr:nvPicPr>
      <xdr:blipFill>
        <a:blip r:embed="rId2"/>
        <a:stretch>
          <a:fillRect/>
        </a:stretch>
      </xdr:blipFill>
      <xdr:spPr>
        <a:xfrm>
          <a:off x="66675" y="14039850"/>
          <a:ext cx="3810000" cy="133350"/>
        </a:xfrm>
        <a:prstGeom prst="rect">
          <a:avLst/>
        </a:prstGeom>
        <a:noFill/>
        <a:ln w="9525" cmpd="sng">
          <a:noFill/>
        </a:ln>
      </xdr:spPr>
    </xdr:pic>
    <xdr:clientData/>
  </xdr:twoCellAnchor>
  <xdr:twoCellAnchor editAs="oneCell">
    <xdr:from>
      <xdr:col>3</xdr:col>
      <xdr:colOff>3429000</xdr:colOff>
      <xdr:row>71</xdr:row>
      <xdr:rowOff>142875</xdr:rowOff>
    </xdr:from>
    <xdr:to>
      <xdr:col>9</xdr:col>
      <xdr:colOff>1266825</xdr:colOff>
      <xdr:row>72</xdr:row>
      <xdr:rowOff>85725</xdr:rowOff>
    </xdr:to>
    <xdr:pic>
      <xdr:nvPicPr>
        <xdr:cNvPr id="4" name="12 Imagen"/>
        <xdr:cNvPicPr preferRelativeResize="1">
          <a:picLocks noChangeAspect="1"/>
        </xdr:cNvPicPr>
      </xdr:nvPicPr>
      <xdr:blipFill>
        <a:blip r:embed="rId2"/>
        <a:stretch>
          <a:fillRect/>
        </a:stretch>
      </xdr:blipFill>
      <xdr:spPr>
        <a:xfrm>
          <a:off x="6334125" y="14077950"/>
          <a:ext cx="38100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y.acosta\Desktop\Enc.%20Contabilidad%20YENNY%20ACOSTA\Informaci&#243;n%20Financiera%202019\Estados%20Financieros%20al%2030%20de%20Junio%20%20del%202019\ESTADOS%20FINANCIEROS%20INTERNOS%20%20AL%2030%20DE%20JUNIO%2020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stados%20Financieros%202020\Balanza%20de%20Comprobaci&#243;n%202020.csv"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y.acosta\AppData\Local\Microsoft\Windows\Temporary%20Internet%20Files\Content.Outlook\M8ITPAAZ\Balanza%20de%20Comprobaci&#243;n%20al%2031%20de%20Diciembre%20del%20202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y.acosta\Desktop\Enc.%20Contabilidad%20YENNY%20ACOSTA\Informaci&#243;n%20Financiera%202020\Estados%20Financieros%20al%2031%20de%20Diciembre%20del%202020\FORMATO%20EEFF%20CIERRE%202020-ONAPI-REVISADO%20POR%20LA%20DIGECOG.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y.acosta\Desktop\Enc.%20Contabilidad%20YENNY%20ACOSTA\Informaci&#243;n%20Financiera%202020\Estados%20Financieros%20al%2030%20de%20Junio%20del%202020\FORMATO%20EEFF%20CIERRE%2030062020-ONAPI.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Yenny%20Acosta\Downloads\Comparativo%20Ejecuci&#243;n%20Presupuestaria%20(1).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y.acosta\Desktop\Export3.csv"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CE GENERAL"/>
      <sheetName val="RESULTADOS"/>
      <sheetName val="CAMBIO PATRIMONIO"/>
      <sheetName val="Notas al Estado de Situación"/>
      <sheetName val="Hoja2"/>
      <sheetName val="Depreciación Acumulada"/>
      <sheetName val="Notas Estado de Resultados"/>
      <sheetName val="Label"/>
      <sheetName val="Nota Estado de Resultados Ing."/>
      <sheetName val="Hoja1"/>
      <sheetName val="Check List"/>
      <sheetName val="Hoja3"/>
      <sheetName val="Depreciación Cati -Pto. Plata"/>
    </sheetNames>
    <sheetDataSet>
      <sheetData sheetId="5">
        <row r="67">
          <cell r="H67" t="str">
            <v>ok</v>
          </cell>
        </row>
        <row r="68">
          <cell r="D68">
            <v>4995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lanza de Comprobación 2020"/>
    </sheetNames>
    <sheetDataSet>
      <sheetData sheetId="0">
        <row r="156">
          <cell r="I156">
            <v>-13645284.2</v>
          </cell>
        </row>
        <row r="223">
          <cell r="I223">
            <v>-246294.21</v>
          </cell>
        </row>
        <row r="258">
          <cell r="I258">
            <v>-76050011.35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port2"/>
    </sheetNames>
    <sheetDataSet>
      <sheetData sheetId="0">
        <row r="207">
          <cell r="I207">
            <v>-78445037.67999999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SF - Situación Financiera"/>
      <sheetName val="Flujo de Efectivo"/>
      <sheetName val=" ERF-Rendimiento Financiero"/>
      <sheetName val="ECANP-Cambio Patrimonio"/>
    </sheetNames>
    <sheetDataSet>
      <sheetData sheetId="0">
        <row r="1">
          <cell r="A1" t="str">
            <v>OFICINA NACIONAL DE LA PROPIEDAD INDUSTRIAL(ONAPI)</v>
          </cell>
        </row>
      </sheetData>
      <sheetData sheetId="2">
        <row r="27">
          <cell r="E27">
            <v>52128331.360000074</v>
          </cell>
          <cell r="G27">
            <v>30252545.27000004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SF - Situación Financiera"/>
      <sheetName val=" ERF-Rendimiento Financiero"/>
      <sheetName val="ECANP-Cambio Patrimonio"/>
    </sheetNames>
    <sheetDataSet>
      <sheetData sheetId="0">
        <row r="1">
          <cell r="A1" t="str">
            <v>OFICINA NACIONAL DE LA PROPIEDAD INDUSTRIAL(ONAPI)</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SF - Situación Financiera"/>
      <sheetName val=" ERF-Rendimiento Financiero"/>
      <sheetName val="ECANP-Cambio Patrimonio"/>
      <sheetName val="EFE-Flujo de Efectivo"/>
      <sheetName val="Estado Comparativo"/>
    </sheetNames>
    <sheetDataSet>
      <sheetData sheetId="0">
        <row r="1">
          <cell r="A1" t="str">
            <v>OFICINA NACIONAL DE LA PROPIEDAD INDUSTRIAL(ONAPI)</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Export3"/>
    </sheetNames>
    <sheetDataSet>
      <sheetData sheetId="0">
        <row r="31">
          <cell r="I31">
            <v>38473107.88</v>
          </cell>
        </row>
        <row r="55">
          <cell r="J55">
            <v>16413549.52</v>
          </cell>
        </row>
        <row r="114">
          <cell r="I114">
            <v>-22086104.69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amp;%5e%25$#@*" TargetMode="External" /><Relationship Id="rId2" Type="http://schemas.openxmlformats.org/officeDocument/2006/relationships/hyperlink" Target="mailto:&amp;%5e%25$#@*" TargetMode="External" /><Relationship Id="rId3" Type="http://schemas.openxmlformats.org/officeDocument/2006/relationships/hyperlink" Target="mailto:&amp;%5e%25$#@*" TargetMode="External" /><Relationship Id="rId4" Type="http://schemas.openxmlformats.org/officeDocument/2006/relationships/drawing" Target="../drawings/drawing8.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amp;%5e%25$#@*" TargetMode="External" /><Relationship Id="rId2" Type="http://schemas.openxmlformats.org/officeDocument/2006/relationships/hyperlink" Target="mailto:&amp;%5e%25$#@*" TargetMode="External" /><Relationship Id="rId3" Type="http://schemas.openxmlformats.org/officeDocument/2006/relationships/hyperlink" Target="mailto:&amp;%5e%25$#@*" TargetMode="External" /><Relationship Id="rId4" Type="http://schemas.openxmlformats.org/officeDocument/2006/relationships/comments" Target="../comments7.xml" /><Relationship Id="rId5" Type="http://schemas.openxmlformats.org/officeDocument/2006/relationships/vmlDrawing" Target="../drawings/vmlDrawing1.vml" /><Relationship Id="rId6" Type="http://schemas.openxmlformats.org/officeDocument/2006/relationships/drawing" Target="../drawings/drawing7.xml" /><Relationship Id="rId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68"/>
  <sheetViews>
    <sheetView workbookViewId="0" topLeftCell="A12">
      <selection activeCell="D59" sqref="D59"/>
    </sheetView>
  </sheetViews>
  <sheetFormatPr defaultColWidth="11.421875" defaultRowHeight="15"/>
  <cols>
    <col min="1" max="1" width="6.7109375" style="235" customWidth="1"/>
    <col min="2" max="2" width="51.57421875" style="235" customWidth="1"/>
    <col min="3" max="3" width="1.7109375" style="235" customWidth="1"/>
    <col min="4" max="5" width="18.421875" style="235" customWidth="1"/>
    <col min="6" max="6" width="14.8515625" style="235" hidden="1" customWidth="1"/>
    <col min="7" max="7" width="0.85546875" style="235" hidden="1" customWidth="1"/>
    <col min="8" max="8" width="0.13671875" style="235" customWidth="1"/>
    <col min="9" max="9" width="3.7109375" style="235" customWidth="1"/>
    <col min="10" max="10" width="87.421875" style="235" customWidth="1"/>
    <col min="11" max="11" width="15.28125" style="235" hidden="1" customWidth="1"/>
    <col min="12" max="12" width="3.7109375" style="235" customWidth="1"/>
    <col min="13" max="15" width="11.421875" style="235" customWidth="1"/>
    <col min="16" max="16384" width="11.421875" style="236" customWidth="1"/>
  </cols>
  <sheetData>
    <row r="1" spans="1:8" ht="15.75">
      <c r="A1" s="604" t="s">
        <v>708</v>
      </c>
      <c r="B1" s="604"/>
      <c r="C1" s="604"/>
      <c r="D1" s="604"/>
      <c r="E1" s="604"/>
      <c r="F1" s="604"/>
      <c r="G1" s="604"/>
      <c r="H1" s="604"/>
    </row>
    <row r="2" spans="1:8" ht="15.75">
      <c r="A2" s="604" t="s">
        <v>709</v>
      </c>
      <c r="B2" s="604"/>
      <c r="C2" s="604"/>
      <c r="D2" s="604"/>
      <c r="E2" s="604"/>
      <c r="F2" s="604"/>
      <c r="G2" s="604"/>
      <c r="H2" s="604"/>
    </row>
    <row r="3" spans="1:8" ht="15.75">
      <c r="A3" s="604" t="s">
        <v>922</v>
      </c>
      <c r="B3" s="604"/>
      <c r="C3" s="604"/>
      <c r="D3" s="604"/>
      <c r="E3" s="604"/>
      <c r="F3" s="604"/>
      <c r="G3" s="604"/>
      <c r="H3" s="604"/>
    </row>
    <row r="4" spans="1:8" ht="15.75">
      <c r="A4" s="604" t="s">
        <v>710</v>
      </c>
      <c r="B4" s="604"/>
      <c r="C4" s="604"/>
      <c r="D4" s="604"/>
      <c r="E4" s="604"/>
      <c r="F4" s="604"/>
      <c r="G4" s="604"/>
      <c r="H4" s="604"/>
    </row>
    <row r="5" spans="1:8" ht="15">
      <c r="A5" s="355"/>
      <c r="B5" s="356"/>
      <c r="C5" s="356"/>
      <c r="D5" s="356"/>
      <c r="E5" s="356"/>
      <c r="F5" s="355"/>
      <c r="G5" s="355"/>
      <c r="H5" s="355"/>
    </row>
    <row r="6" spans="1:8" ht="15">
      <c r="A6" s="355"/>
      <c r="B6" s="355"/>
      <c r="C6" s="355"/>
      <c r="D6" s="357">
        <v>2022</v>
      </c>
      <c r="E6" s="357">
        <v>2021</v>
      </c>
      <c r="F6" s="357">
        <v>2020</v>
      </c>
      <c r="G6" s="358"/>
      <c r="H6" s="357">
        <v>2019</v>
      </c>
    </row>
    <row r="7" spans="1:15" ht="15">
      <c r="A7" s="359" t="s">
        <v>711</v>
      </c>
      <c r="B7" s="360"/>
      <c r="C7" s="360"/>
      <c r="D7" s="360"/>
      <c r="E7" s="360"/>
      <c r="F7" s="361"/>
      <c r="G7" s="362"/>
      <c r="H7" s="361"/>
      <c r="I7" s="240"/>
      <c r="J7" s="240"/>
      <c r="K7" s="240"/>
      <c r="L7" s="240"/>
      <c r="M7" s="240"/>
      <c r="N7" s="240"/>
      <c r="O7" s="240"/>
    </row>
    <row r="8" spans="1:15" ht="15">
      <c r="A8" s="359" t="s">
        <v>712</v>
      </c>
      <c r="B8" s="360"/>
      <c r="C8" s="360"/>
      <c r="D8" s="360"/>
      <c r="E8" s="360"/>
      <c r="F8" s="362"/>
      <c r="G8" s="362"/>
      <c r="H8" s="362"/>
      <c r="I8" s="240"/>
      <c r="J8" s="240"/>
      <c r="K8" s="240"/>
      <c r="L8" s="240"/>
      <c r="M8" s="240"/>
      <c r="N8" s="240"/>
      <c r="O8" s="240"/>
    </row>
    <row r="9" spans="1:15" ht="15">
      <c r="A9" s="251"/>
      <c r="B9" s="251" t="s">
        <v>713</v>
      </c>
      <c r="C9" s="251"/>
      <c r="D9" s="363">
        <f>+'Notas Estado de Situación'!O62</f>
        <v>329785450.79999995</v>
      </c>
      <c r="E9" s="363">
        <f>+'Notas Estado de Situación'!P62</f>
        <v>293326330.75000006</v>
      </c>
      <c r="F9" s="363">
        <v>206290774.21</v>
      </c>
      <c r="G9" s="364"/>
      <c r="H9" s="363">
        <v>166164338.88</v>
      </c>
      <c r="I9" s="240"/>
      <c r="J9" s="240"/>
      <c r="K9" s="244">
        <f aca="true" t="shared" si="0" ref="K9:K16">+F9+H9</f>
        <v>372455113.09000003</v>
      </c>
      <c r="L9" s="240"/>
      <c r="M9" s="245"/>
      <c r="N9" s="240"/>
      <c r="O9" s="240"/>
    </row>
    <row r="10" spans="1:15" s="4" customFormat="1" ht="15" customHeight="1" hidden="1">
      <c r="A10" s="250"/>
      <c r="B10" s="251" t="s">
        <v>714</v>
      </c>
      <c r="C10" s="251"/>
      <c r="D10" s="251"/>
      <c r="E10" s="251"/>
      <c r="F10" s="254">
        <v>0</v>
      </c>
      <c r="G10" s="365"/>
      <c r="H10" s="254">
        <v>0</v>
      </c>
      <c r="I10" s="241"/>
      <c r="J10" s="241"/>
      <c r="K10" s="246">
        <f t="shared" si="0"/>
        <v>0</v>
      </c>
      <c r="L10" s="241"/>
      <c r="M10" s="247"/>
      <c r="N10" s="241"/>
      <c r="O10" s="241"/>
    </row>
    <row r="11" spans="1:15" s="4" customFormat="1" ht="15" customHeight="1" hidden="1">
      <c r="A11" s="250"/>
      <c r="B11" s="251" t="s">
        <v>715</v>
      </c>
      <c r="C11" s="251"/>
      <c r="D11" s="251"/>
      <c r="E11" s="251"/>
      <c r="F11" s="254">
        <v>0</v>
      </c>
      <c r="G11" s="365"/>
      <c r="H11" s="254">
        <v>0</v>
      </c>
      <c r="I11" s="241"/>
      <c r="J11" s="241"/>
      <c r="K11" s="246">
        <f t="shared" si="0"/>
        <v>0</v>
      </c>
      <c r="L11" s="241"/>
      <c r="M11" s="247"/>
      <c r="N11" s="241"/>
      <c r="O11" s="241"/>
    </row>
    <row r="12" spans="1:15" s="4" customFormat="1" ht="15">
      <c r="A12" s="250"/>
      <c r="B12" s="251" t="s">
        <v>716</v>
      </c>
      <c r="C12" s="251"/>
      <c r="D12" s="363">
        <f>+'Notas Estado de Situación'!O112</f>
        <v>2585902.88</v>
      </c>
      <c r="E12" s="363">
        <f>+'Notas Estado de Situación'!P112</f>
        <v>2585902.88</v>
      </c>
      <c r="F12" s="254">
        <v>2595686.97</v>
      </c>
      <c r="G12" s="365"/>
      <c r="H12" s="254">
        <v>2832033.81</v>
      </c>
      <c r="I12" s="241"/>
      <c r="J12" s="250"/>
      <c r="K12" s="246">
        <f t="shared" si="0"/>
        <v>5427720.78</v>
      </c>
      <c r="L12" s="241"/>
      <c r="M12" s="247"/>
      <c r="N12" s="241"/>
      <c r="O12" s="241"/>
    </row>
    <row r="13" spans="1:15" ht="15">
      <c r="A13" s="251"/>
      <c r="B13" s="251" t="s">
        <v>717</v>
      </c>
      <c r="C13" s="251"/>
      <c r="D13" s="363">
        <f>+'Notas Estado de Situación'!O150</f>
        <v>7426633.02</v>
      </c>
      <c r="E13" s="363">
        <f>+'Notas Estado de Situación'!P150</f>
        <v>5087648.260000001</v>
      </c>
      <c r="F13" s="254">
        <v>5305865.5</v>
      </c>
      <c r="G13" s="365"/>
      <c r="H13" s="254">
        <v>4433464.07</v>
      </c>
      <c r="I13" s="240"/>
      <c r="J13" s="251"/>
      <c r="K13" s="244">
        <f t="shared" si="0"/>
        <v>9739329.57</v>
      </c>
      <c r="L13" s="240"/>
      <c r="M13" s="245"/>
      <c r="N13" s="240"/>
      <c r="O13" s="240"/>
    </row>
    <row r="14" spans="1:15" s="4" customFormat="1" ht="15">
      <c r="A14" s="250"/>
      <c r="B14" s="251" t="s">
        <v>718</v>
      </c>
      <c r="C14" s="251"/>
      <c r="D14" s="371">
        <f>+'Notas Estado de Situación'!O162</f>
        <v>1816808.83</v>
      </c>
      <c r="E14" s="371">
        <f>+'Notas Estado de Situación'!P162</f>
        <v>2340996.24</v>
      </c>
      <c r="F14" s="372">
        <v>1468138.54</v>
      </c>
      <c r="G14" s="365"/>
      <c r="H14" s="254">
        <v>1495154.42</v>
      </c>
      <c r="I14" s="248"/>
      <c r="J14" s="250"/>
      <c r="K14" s="246">
        <f t="shared" si="0"/>
        <v>2963292.96</v>
      </c>
      <c r="L14" s="241"/>
      <c r="M14" s="247"/>
      <c r="N14" s="241"/>
      <c r="O14" s="241"/>
    </row>
    <row r="15" spans="1:15" s="4" customFormat="1" ht="15" customHeight="1" hidden="1">
      <c r="A15" s="250"/>
      <c r="B15" s="251" t="s">
        <v>719</v>
      </c>
      <c r="C15" s="251"/>
      <c r="D15" s="363"/>
      <c r="E15" s="363"/>
      <c r="F15" s="254">
        <v>0</v>
      </c>
      <c r="G15" s="365"/>
      <c r="H15" s="254">
        <v>0</v>
      </c>
      <c r="I15" s="241"/>
      <c r="J15" s="250"/>
      <c r="K15" s="246">
        <f t="shared" si="0"/>
        <v>0</v>
      </c>
      <c r="L15" s="241"/>
      <c r="M15" s="247"/>
      <c r="N15" s="241"/>
      <c r="O15" s="241"/>
    </row>
    <row r="16" spans="1:15" ht="15">
      <c r="A16" s="359" t="s">
        <v>830</v>
      </c>
      <c r="B16" s="251"/>
      <c r="C16" s="251"/>
      <c r="D16" s="366">
        <f>SUM(D9:D14)</f>
        <v>341614795.5299999</v>
      </c>
      <c r="E16" s="366">
        <f>SUM(E9:E14)</f>
        <v>303340878.13000005</v>
      </c>
      <c r="F16" s="366">
        <f>SUM(F8:F15)</f>
        <v>215660465.22</v>
      </c>
      <c r="G16" s="364"/>
      <c r="H16" s="366">
        <f>SUM(H8:H15)</f>
        <v>174924991.17999998</v>
      </c>
      <c r="I16" s="240"/>
      <c r="J16" s="251"/>
      <c r="K16" s="244">
        <f t="shared" si="0"/>
        <v>390585456.4</v>
      </c>
      <c r="L16" s="240"/>
      <c r="M16" s="245"/>
      <c r="N16" s="240"/>
      <c r="O16" s="240"/>
    </row>
    <row r="17" spans="1:15" ht="15">
      <c r="A17" s="359"/>
      <c r="B17" s="251"/>
      <c r="C17" s="251"/>
      <c r="D17" s="363"/>
      <c r="E17" s="363"/>
      <c r="F17" s="366"/>
      <c r="G17" s="364"/>
      <c r="H17" s="366"/>
      <c r="I17" s="240"/>
      <c r="J17" s="251"/>
      <c r="K17" s="244"/>
      <c r="L17" s="240"/>
      <c r="M17" s="245"/>
      <c r="N17" s="240"/>
      <c r="O17" s="240"/>
    </row>
    <row r="18" spans="1:15" ht="15">
      <c r="A18" s="359" t="s">
        <v>832</v>
      </c>
      <c r="B18" s="251"/>
      <c r="C18" s="251"/>
      <c r="D18" s="363"/>
      <c r="E18" s="363"/>
      <c r="F18" s="363"/>
      <c r="G18" s="363"/>
      <c r="H18" s="363"/>
      <c r="I18" s="240"/>
      <c r="J18" s="251"/>
      <c r="K18" s="240"/>
      <c r="L18" s="240"/>
      <c r="M18" s="245"/>
      <c r="N18" s="240"/>
      <c r="O18" s="240"/>
    </row>
    <row r="19" spans="1:15" s="4" customFormat="1" ht="15" customHeight="1" hidden="1">
      <c r="A19" s="250"/>
      <c r="B19" s="251" t="s">
        <v>720</v>
      </c>
      <c r="C19" s="251"/>
      <c r="D19" s="363"/>
      <c r="E19" s="363"/>
      <c r="F19" s="254">
        <v>0</v>
      </c>
      <c r="G19" s="365"/>
      <c r="H19" s="254">
        <v>0</v>
      </c>
      <c r="I19" s="241"/>
      <c r="J19" s="250"/>
      <c r="K19" s="246">
        <f aca="true" t="shared" si="1" ref="K19:K26">+F19+H19</f>
        <v>0</v>
      </c>
      <c r="L19" s="241"/>
      <c r="M19" s="247"/>
      <c r="N19" s="241"/>
      <c r="O19" s="241"/>
    </row>
    <row r="20" spans="1:15" s="4" customFormat="1" ht="15" customHeight="1" hidden="1">
      <c r="A20" s="250"/>
      <c r="B20" s="251" t="s">
        <v>721</v>
      </c>
      <c r="C20" s="251"/>
      <c r="D20" s="363"/>
      <c r="E20" s="363"/>
      <c r="F20" s="254">
        <v>0</v>
      </c>
      <c r="G20" s="365"/>
      <c r="H20" s="254">
        <v>0</v>
      </c>
      <c r="I20" s="241"/>
      <c r="J20" s="250"/>
      <c r="K20" s="246">
        <f t="shared" si="1"/>
        <v>0</v>
      </c>
      <c r="L20" s="241"/>
      <c r="M20" s="247"/>
      <c r="N20" s="241"/>
      <c r="O20" s="241"/>
    </row>
    <row r="21" spans="1:15" s="4" customFormat="1" ht="15" customHeight="1" hidden="1">
      <c r="A21" s="250"/>
      <c r="B21" s="251" t="s">
        <v>722</v>
      </c>
      <c r="C21" s="251"/>
      <c r="D21" s="363"/>
      <c r="E21" s="363"/>
      <c r="F21" s="254">
        <v>0</v>
      </c>
      <c r="G21" s="365"/>
      <c r="H21" s="254">
        <v>0</v>
      </c>
      <c r="I21" s="241"/>
      <c r="J21" s="250"/>
      <c r="K21" s="246">
        <f t="shared" si="1"/>
        <v>0</v>
      </c>
      <c r="L21" s="241"/>
      <c r="M21" s="247"/>
      <c r="N21" s="241"/>
      <c r="O21" s="241"/>
    </row>
    <row r="22" spans="1:15" s="4" customFormat="1" ht="15" customHeight="1" hidden="1">
      <c r="A22" s="250"/>
      <c r="B22" s="251" t="s">
        <v>723</v>
      </c>
      <c r="C22" s="251"/>
      <c r="D22" s="363"/>
      <c r="E22" s="363"/>
      <c r="F22" s="254">
        <v>0</v>
      </c>
      <c r="G22" s="365"/>
      <c r="H22" s="254">
        <v>0</v>
      </c>
      <c r="I22" s="241"/>
      <c r="J22" s="250"/>
      <c r="K22" s="246">
        <f t="shared" si="1"/>
        <v>0</v>
      </c>
      <c r="L22" s="241"/>
      <c r="M22" s="247"/>
      <c r="N22" s="241"/>
      <c r="O22" s="241"/>
    </row>
    <row r="23" spans="1:15" ht="15">
      <c r="A23" s="251"/>
      <c r="B23" s="251" t="s">
        <v>829</v>
      </c>
      <c r="C23" s="251"/>
      <c r="D23" s="363">
        <f>+'Notas Estado de Situación'!O182+'Notas Estado de Situación'!O440+'Notas Estado de Situación'!O456+'Notas Estado de Situación'!O477+12579325.97</f>
        <v>130879892.39999998</v>
      </c>
      <c r="E23" s="363">
        <f>+'Notas Estado de Situación'!P440+'Notas Estado de Situación'!P182+'Notas Estado de Situación'!P456+'Notas Estado de Situación'!P477+12579325.97</f>
        <v>132914829.19999999</v>
      </c>
      <c r="F23" s="254">
        <f>156655200.1-17413311.55</f>
        <v>139241888.54999998</v>
      </c>
      <c r="G23" s="365"/>
      <c r="H23" s="254">
        <v>140880471.7</v>
      </c>
      <c r="I23" s="240"/>
      <c r="J23" s="251"/>
      <c r="K23" s="244">
        <f t="shared" si="1"/>
        <v>280122360.25</v>
      </c>
      <c r="L23" s="240"/>
      <c r="M23" s="245"/>
      <c r="N23" s="240"/>
      <c r="O23" s="240"/>
    </row>
    <row r="24" spans="1:15" ht="15">
      <c r="A24" s="251"/>
      <c r="B24" s="251" t="s">
        <v>724</v>
      </c>
      <c r="C24" s="251"/>
      <c r="D24" s="371">
        <f>+'Notas Estado de Situación'!O506</f>
        <v>8231684.6000000015</v>
      </c>
      <c r="E24" s="371">
        <f>+'Notas Estado de Situación'!P506</f>
        <v>10599341.14</v>
      </c>
      <c r="F24" s="372">
        <v>17413311.55</v>
      </c>
      <c r="G24" s="365"/>
      <c r="H24" s="254">
        <v>19291263.83</v>
      </c>
      <c r="I24" s="240"/>
      <c r="J24" s="252"/>
      <c r="K24" s="244">
        <f t="shared" si="1"/>
        <v>36704575.379999995</v>
      </c>
      <c r="L24" s="240"/>
      <c r="M24" s="245"/>
      <c r="N24" s="240"/>
      <c r="O24" s="240"/>
    </row>
    <row r="25" spans="1:15" s="4" customFormat="1" ht="15" customHeight="1" hidden="1">
      <c r="A25" s="250"/>
      <c r="B25" s="251" t="s">
        <v>725</v>
      </c>
      <c r="C25" s="251"/>
      <c r="D25" s="363"/>
      <c r="E25" s="363"/>
      <c r="F25" s="363">
        <v>0</v>
      </c>
      <c r="G25" s="364"/>
      <c r="H25" s="363">
        <v>0</v>
      </c>
      <c r="I25" s="248"/>
      <c r="J25" s="253"/>
      <c r="K25" s="246">
        <f t="shared" si="1"/>
        <v>0</v>
      </c>
      <c r="L25" s="249"/>
      <c r="M25" s="247"/>
      <c r="N25" s="241"/>
      <c r="O25" s="241"/>
    </row>
    <row r="26" spans="1:15" ht="15">
      <c r="A26" s="359" t="s">
        <v>831</v>
      </c>
      <c r="B26" s="251"/>
      <c r="C26" s="251"/>
      <c r="D26" s="373">
        <f>SUM(D23:D25)</f>
        <v>139111576.99999997</v>
      </c>
      <c r="E26" s="373">
        <f>SUM(E23:E25)</f>
        <v>143514170.33999997</v>
      </c>
      <c r="F26" s="373">
        <f>SUM(F19:F25)</f>
        <v>156655200.1</v>
      </c>
      <c r="G26" s="364"/>
      <c r="H26" s="366">
        <f>SUM(H19:H25)</f>
        <v>160171735.52999997</v>
      </c>
      <c r="I26" s="240"/>
      <c r="J26" s="251"/>
      <c r="K26" s="244">
        <f t="shared" si="1"/>
        <v>316826935.63</v>
      </c>
      <c r="L26" s="240"/>
      <c r="M26" s="245"/>
      <c r="N26" s="240"/>
      <c r="O26" s="240"/>
    </row>
    <row r="27" spans="1:15" ht="15">
      <c r="A27" s="359"/>
      <c r="B27" s="251"/>
      <c r="C27" s="251"/>
      <c r="D27" s="363"/>
      <c r="E27" s="363"/>
      <c r="F27" s="366"/>
      <c r="G27" s="364"/>
      <c r="H27" s="366"/>
      <c r="I27" s="240"/>
      <c r="J27" s="251"/>
      <c r="K27" s="244"/>
      <c r="L27" s="240"/>
      <c r="M27" s="245"/>
      <c r="N27" s="240"/>
      <c r="O27" s="240"/>
    </row>
    <row r="28" spans="1:15" ht="15.75" thickBot="1">
      <c r="A28" s="359" t="s">
        <v>726</v>
      </c>
      <c r="B28" s="251"/>
      <c r="C28" s="251"/>
      <c r="D28" s="370">
        <f>+D16+D26</f>
        <v>480726372.52999985</v>
      </c>
      <c r="E28" s="370">
        <f>+E16+E26</f>
        <v>446855048.47</v>
      </c>
      <c r="F28" s="370">
        <f>SUM(F26,F16)</f>
        <v>372315665.32</v>
      </c>
      <c r="G28" s="367"/>
      <c r="H28" s="366">
        <f>SUM(H26,H16)</f>
        <v>335096726.7099999</v>
      </c>
      <c r="I28" s="240"/>
      <c r="J28" s="251"/>
      <c r="K28" s="244">
        <f>+F28+H28</f>
        <v>707412392.03</v>
      </c>
      <c r="L28" s="240"/>
      <c r="M28" s="245"/>
      <c r="N28" s="240"/>
      <c r="O28" s="240"/>
    </row>
    <row r="29" spans="1:15" ht="15.75" thickTop="1">
      <c r="A29" s="251"/>
      <c r="B29" s="251" t="s">
        <v>612</v>
      </c>
      <c r="C29" s="251"/>
      <c r="D29" s="363"/>
      <c r="E29" s="363"/>
      <c r="F29" s="363"/>
      <c r="G29" s="363"/>
      <c r="H29" s="363"/>
      <c r="I29" s="240"/>
      <c r="J29" s="251"/>
      <c r="K29" s="240"/>
      <c r="L29" s="240"/>
      <c r="M29" s="245"/>
      <c r="N29" s="240"/>
      <c r="O29" s="240"/>
    </row>
    <row r="30" spans="1:15" ht="15">
      <c r="A30" s="359" t="s">
        <v>727</v>
      </c>
      <c r="B30" s="251"/>
      <c r="C30" s="251"/>
      <c r="D30" s="363"/>
      <c r="E30" s="363"/>
      <c r="F30" s="363"/>
      <c r="G30" s="363"/>
      <c r="H30" s="363"/>
      <c r="I30" s="240"/>
      <c r="J30" s="251"/>
      <c r="K30" s="240"/>
      <c r="L30" s="240"/>
      <c r="M30" s="245"/>
      <c r="N30" s="240"/>
      <c r="O30" s="240"/>
    </row>
    <row r="31" spans="1:15" ht="15">
      <c r="A31" s="359" t="s">
        <v>833</v>
      </c>
      <c r="B31" s="251"/>
      <c r="C31" s="251"/>
      <c r="D31" s="363"/>
      <c r="E31" s="363"/>
      <c r="F31" s="364"/>
      <c r="G31" s="364"/>
      <c r="H31" s="364"/>
      <c r="I31" s="240"/>
      <c r="J31" s="251"/>
      <c r="K31" s="240"/>
      <c r="L31" s="240"/>
      <c r="M31" s="245"/>
      <c r="N31" s="240"/>
      <c r="O31" s="240"/>
    </row>
    <row r="32" spans="1:15" s="4" customFormat="1" ht="15" customHeight="1" hidden="1">
      <c r="A32" s="250"/>
      <c r="B32" s="251" t="s">
        <v>728</v>
      </c>
      <c r="C32" s="251"/>
      <c r="D32" s="363"/>
      <c r="E32" s="363"/>
      <c r="F32" s="254">
        <v>0</v>
      </c>
      <c r="G32" s="368"/>
      <c r="H32" s="254">
        <v>0</v>
      </c>
      <c r="I32" s="241"/>
      <c r="J32" s="250"/>
      <c r="K32" s="246">
        <f aca="true" t="shared" si="2" ref="K32:K41">+F32+H32</f>
        <v>0</v>
      </c>
      <c r="L32" s="241"/>
      <c r="M32" s="247"/>
      <c r="N32" s="241"/>
      <c r="O32" s="241"/>
    </row>
    <row r="33" spans="1:15" ht="15">
      <c r="A33" s="251"/>
      <c r="B33" s="251" t="s">
        <v>729</v>
      </c>
      <c r="C33" s="251"/>
      <c r="D33" s="363">
        <f>+'Notas Estado de Situación'!O523</f>
        <v>5072692.779999999</v>
      </c>
      <c r="E33" s="363">
        <f>+'Notas Estado de Situación'!P523</f>
        <v>8111355.89</v>
      </c>
      <c r="F33" s="254">
        <v>4560839.52</v>
      </c>
      <c r="G33" s="368"/>
      <c r="H33" s="254">
        <f>4363148.71+9462055.34</f>
        <v>13825204.05</v>
      </c>
      <c r="I33" s="240"/>
      <c r="J33" s="254"/>
      <c r="K33" s="244">
        <f t="shared" si="2"/>
        <v>18386043.57</v>
      </c>
      <c r="L33" s="240"/>
      <c r="M33" s="245"/>
      <c r="N33" s="240"/>
      <c r="O33" s="240"/>
    </row>
    <row r="34" spans="1:15" s="4" customFormat="1" ht="15" customHeight="1" hidden="1">
      <c r="A34" s="250"/>
      <c r="B34" s="251" t="s">
        <v>730</v>
      </c>
      <c r="C34" s="251"/>
      <c r="D34" s="363"/>
      <c r="E34" s="363"/>
      <c r="F34" s="254">
        <v>0</v>
      </c>
      <c r="G34" s="365"/>
      <c r="H34" s="254">
        <v>0</v>
      </c>
      <c r="I34" s="241"/>
      <c r="J34" s="250"/>
      <c r="K34" s="246">
        <f t="shared" si="2"/>
        <v>0</v>
      </c>
      <c r="L34" s="241"/>
      <c r="M34" s="247"/>
      <c r="N34" s="241"/>
      <c r="O34" s="241"/>
    </row>
    <row r="35" spans="1:15" s="4" customFormat="1" ht="15" customHeight="1" hidden="1">
      <c r="A35" s="250"/>
      <c r="B35" s="251" t="s">
        <v>731</v>
      </c>
      <c r="C35" s="251"/>
      <c r="D35" s="363"/>
      <c r="E35" s="363"/>
      <c r="F35" s="254">
        <v>0</v>
      </c>
      <c r="G35" s="365"/>
      <c r="H35" s="254">
        <v>0</v>
      </c>
      <c r="I35" s="241"/>
      <c r="J35" s="250"/>
      <c r="K35" s="246">
        <f t="shared" si="2"/>
        <v>0</v>
      </c>
      <c r="L35" s="241"/>
      <c r="M35" s="247"/>
      <c r="N35" s="241"/>
      <c r="O35" s="241"/>
    </row>
    <row r="36" spans="1:15" s="4" customFormat="1" ht="15">
      <c r="A36" s="250"/>
      <c r="B36" s="251" t="s">
        <v>732</v>
      </c>
      <c r="C36" s="251"/>
      <c r="D36" s="363">
        <f>+'Notas Estado de Situación'!O667</f>
        <v>22385855.330000002</v>
      </c>
      <c r="E36" s="363">
        <f>+'Notas Estado de Situación'!P667</f>
        <v>2132628.51</v>
      </c>
      <c r="F36" s="254">
        <v>1541158.98</v>
      </c>
      <c r="G36" s="365"/>
      <c r="H36" s="254">
        <f>1464223.87+14576438.64</f>
        <v>16040662.510000002</v>
      </c>
      <c r="I36" s="241"/>
      <c r="J36" s="250"/>
      <c r="K36" s="246">
        <f t="shared" si="2"/>
        <v>17581821.490000002</v>
      </c>
      <c r="L36" s="241"/>
      <c r="M36" s="247"/>
      <c r="N36" s="241"/>
      <c r="O36" s="241"/>
    </row>
    <row r="37" spans="1:15" s="4" customFormat="1" ht="15" customHeight="1" hidden="1">
      <c r="A37" s="250"/>
      <c r="B37" s="251" t="s">
        <v>733</v>
      </c>
      <c r="C37" s="251"/>
      <c r="D37" s="363"/>
      <c r="E37" s="363"/>
      <c r="F37" s="254">
        <v>0</v>
      </c>
      <c r="G37" s="365"/>
      <c r="H37" s="254">
        <v>0</v>
      </c>
      <c r="I37" s="241"/>
      <c r="J37" s="250"/>
      <c r="K37" s="246">
        <f t="shared" si="2"/>
        <v>0</v>
      </c>
      <c r="L37" s="241"/>
      <c r="M37" s="247"/>
      <c r="N37" s="241"/>
      <c r="O37" s="241"/>
    </row>
    <row r="38" spans="1:15" s="4" customFormat="1" ht="15" customHeight="1" hidden="1">
      <c r="A38" s="250"/>
      <c r="B38" s="251" t="s">
        <v>734</v>
      </c>
      <c r="C38" s="251"/>
      <c r="D38" s="363"/>
      <c r="E38" s="363"/>
      <c r="F38" s="254">
        <v>0</v>
      </c>
      <c r="G38" s="365"/>
      <c r="H38" s="254">
        <v>0</v>
      </c>
      <c r="I38" s="241"/>
      <c r="J38" s="250"/>
      <c r="K38" s="246">
        <f t="shared" si="2"/>
        <v>0</v>
      </c>
      <c r="L38" s="241"/>
      <c r="M38" s="247"/>
      <c r="N38" s="241"/>
      <c r="O38" s="241"/>
    </row>
    <row r="39" spans="1:15" s="4" customFormat="1" ht="15" customHeight="1" hidden="1">
      <c r="A39" s="250"/>
      <c r="B39" s="251" t="s">
        <v>735</v>
      </c>
      <c r="C39" s="251"/>
      <c r="D39" s="363"/>
      <c r="E39" s="363"/>
      <c r="F39" s="254">
        <v>0</v>
      </c>
      <c r="G39" s="365"/>
      <c r="H39" s="254">
        <v>0</v>
      </c>
      <c r="I39" s="241"/>
      <c r="J39" s="250"/>
      <c r="K39" s="246">
        <f t="shared" si="2"/>
        <v>0</v>
      </c>
      <c r="L39" s="241"/>
      <c r="M39" s="247"/>
      <c r="N39" s="241"/>
      <c r="O39" s="241"/>
    </row>
    <row r="40" spans="1:15" s="4" customFormat="1" ht="15">
      <c r="A40" s="250"/>
      <c r="B40" s="251" t="s">
        <v>736</v>
      </c>
      <c r="C40" s="251"/>
      <c r="D40" s="371">
        <f>+'Notas Estado de Situación'!O709</f>
        <v>109657.72</v>
      </c>
      <c r="E40" s="371">
        <f>+'Notas Estado de Situación'!P709</f>
        <v>1035707.9800000001</v>
      </c>
      <c r="F40" s="372">
        <v>58571.7</v>
      </c>
      <c r="G40" s="365"/>
      <c r="H40" s="254">
        <v>834356.13</v>
      </c>
      <c r="I40" s="241"/>
      <c r="J40" s="250"/>
      <c r="K40" s="246">
        <f t="shared" si="2"/>
        <v>892927.83</v>
      </c>
      <c r="L40" s="241"/>
      <c r="M40" s="247"/>
      <c r="N40" s="241"/>
      <c r="O40" s="241"/>
    </row>
    <row r="41" spans="1:15" ht="15">
      <c r="A41" s="359" t="s">
        <v>834</v>
      </c>
      <c r="B41" s="251"/>
      <c r="C41" s="251"/>
      <c r="D41" s="366">
        <f>SUM(D33:D40)</f>
        <v>27568205.83</v>
      </c>
      <c r="E41" s="366">
        <f>SUM(E33:E40)</f>
        <v>11279692.379999999</v>
      </c>
      <c r="F41" s="366">
        <f>SUM(F32:F40)</f>
        <v>6160570.2</v>
      </c>
      <c r="G41" s="364"/>
      <c r="H41" s="366">
        <f>SUM(H32:H40)</f>
        <v>30700222.69</v>
      </c>
      <c r="I41" s="240"/>
      <c r="J41" s="251"/>
      <c r="K41" s="244">
        <f t="shared" si="2"/>
        <v>36860792.89</v>
      </c>
      <c r="L41" s="240"/>
      <c r="M41" s="245"/>
      <c r="N41" s="240"/>
      <c r="O41" s="240"/>
    </row>
    <row r="42" spans="1:15" ht="15">
      <c r="A42" s="359"/>
      <c r="B42" s="251"/>
      <c r="C42" s="251"/>
      <c r="D42" s="363"/>
      <c r="E42" s="363"/>
      <c r="F42" s="366"/>
      <c r="G42" s="364"/>
      <c r="H42" s="366"/>
      <c r="I42" s="240"/>
      <c r="J42" s="251"/>
      <c r="K42" s="244"/>
      <c r="L42" s="240"/>
      <c r="M42" s="245"/>
      <c r="N42" s="240"/>
      <c r="O42" s="240"/>
    </row>
    <row r="43" spans="1:15" ht="15">
      <c r="A43" s="359" t="s">
        <v>835</v>
      </c>
      <c r="B43" s="251"/>
      <c r="C43" s="251"/>
      <c r="D43" s="366">
        <f>+D41</f>
        <v>27568205.83</v>
      </c>
      <c r="E43" s="366">
        <f>+E41</f>
        <v>11279692.379999999</v>
      </c>
      <c r="F43" s="366" t="e">
        <f>SUM(F41,#REF!)</f>
        <v>#REF!</v>
      </c>
      <c r="G43" s="367"/>
      <c r="H43" s="366" t="e">
        <f>SUM(H41,#REF!)</f>
        <v>#REF!</v>
      </c>
      <c r="I43" s="240"/>
      <c r="J43" s="251"/>
      <c r="K43" s="244" t="e">
        <f>+F43+H43</f>
        <v>#REF!</v>
      </c>
      <c r="L43" s="240"/>
      <c r="M43" s="245"/>
      <c r="N43" s="240"/>
      <c r="O43" s="240"/>
    </row>
    <row r="44" spans="1:15" ht="15">
      <c r="A44" s="359"/>
      <c r="B44" s="251"/>
      <c r="C44" s="251"/>
      <c r="D44" s="363"/>
      <c r="E44" s="363"/>
      <c r="F44" s="363"/>
      <c r="G44" s="363"/>
      <c r="H44" s="363"/>
      <c r="I44" s="240"/>
      <c r="J44" s="251"/>
      <c r="K44" s="240"/>
      <c r="L44" s="240"/>
      <c r="M44" s="245"/>
      <c r="N44" s="240"/>
      <c r="O44" s="240"/>
    </row>
    <row r="45" spans="1:15" ht="15">
      <c r="A45" s="359" t="s">
        <v>913</v>
      </c>
      <c r="B45" s="251"/>
      <c r="C45" s="251"/>
      <c r="D45" s="363"/>
      <c r="E45" s="363"/>
      <c r="F45" s="363"/>
      <c r="G45" s="363"/>
      <c r="H45" s="363"/>
      <c r="I45" s="240"/>
      <c r="J45" s="251"/>
      <c r="K45" s="240"/>
      <c r="L45" s="240"/>
      <c r="M45" s="245"/>
      <c r="N45" s="240"/>
      <c r="O45" s="240"/>
    </row>
    <row r="46" spans="1:15" s="4" customFormat="1" ht="15">
      <c r="A46" s="369"/>
      <c r="B46" s="251" t="s">
        <v>737</v>
      </c>
      <c r="C46" s="251"/>
      <c r="D46" s="363">
        <v>113148475.73</v>
      </c>
      <c r="E46" s="363">
        <v>113148475.73</v>
      </c>
      <c r="F46" s="363">
        <v>114633129.66</v>
      </c>
      <c r="G46" s="365"/>
      <c r="H46" s="363">
        <v>105002870.12</v>
      </c>
      <c r="I46" s="241"/>
      <c r="J46" s="368"/>
      <c r="K46" s="246">
        <f>+F46+H46</f>
        <v>219635999.78</v>
      </c>
      <c r="L46" s="241"/>
      <c r="M46" s="247"/>
      <c r="N46" s="241"/>
      <c r="O46" s="241"/>
    </row>
    <row r="47" spans="1:15" s="4" customFormat="1" ht="15" customHeight="1" hidden="1">
      <c r="A47" s="250"/>
      <c r="B47" s="251" t="s">
        <v>738</v>
      </c>
      <c r="C47" s="251"/>
      <c r="D47" s="363"/>
      <c r="E47" s="363"/>
      <c r="F47" s="254">
        <v>0</v>
      </c>
      <c r="G47" s="365"/>
      <c r="H47" s="254">
        <v>0</v>
      </c>
      <c r="I47" s="241"/>
      <c r="J47" s="241"/>
      <c r="K47" s="246">
        <f>+F47+H47</f>
        <v>0</v>
      </c>
      <c r="L47" s="241"/>
      <c r="M47" s="247"/>
      <c r="N47" s="241"/>
      <c r="O47" s="241"/>
    </row>
    <row r="48" spans="1:15" ht="15">
      <c r="A48" s="251"/>
      <c r="B48" s="251" t="s">
        <v>739</v>
      </c>
      <c r="C48" s="251"/>
      <c r="D48" s="363">
        <f>+'Estado Rendimiento Financiero'!E29</f>
        <v>17621076.810000084</v>
      </c>
      <c r="E48" s="363">
        <f>+'Estado Rendimiento Financiero'!F29</f>
        <v>70904915.10000008</v>
      </c>
      <c r="F48" s="363">
        <f>+'[4] ERF-Rendimiento Financiero'!E27</f>
        <v>52128331.360000074</v>
      </c>
      <c r="G48" s="364"/>
      <c r="H48" s="363">
        <f>+'[4] ERF-Rendimiento Financiero'!G27</f>
        <v>30252545.27000004</v>
      </c>
      <c r="I48" s="240"/>
      <c r="J48" s="240"/>
      <c r="K48" s="244">
        <f>+F48+H48</f>
        <v>82380876.63000011</v>
      </c>
      <c r="L48" s="240"/>
      <c r="M48" s="245"/>
      <c r="N48" s="240"/>
      <c r="O48" s="240"/>
    </row>
    <row r="49" spans="1:15" ht="15">
      <c r="A49" s="251"/>
      <c r="B49" s="570" t="s">
        <v>740</v>
      </c>
      <c r="C49" s="251"/>
      <c r="D49" s="527">
        <f>340009691.48-D48</f>
        <v>322388614.66999996</v>
      </c>
      <c r="E49" s="371">
        <v>251521965.26</v>
      </c>
      <c r="F49" s="371">
        <v>199393633.9</v>
      </c>
      <c r="G49" s="364"/>
      <c r="H49" s="363">
        <v>169141088.63</v>
      </c>
      <c r="I49" s="240"/>
      <c r="J49" s="523"/>
      <c r="K49" s="244">
        <f>+F49+H49</f>
        <v>368534722.53</v>
      </c>
      <c r="L49" s="240"/>
      <c r="M49" s="245"/>
      <c r="N49" s="240"/>
      <c r="O49" s="240"/>
    </row>
    <row r="50" spans="1:15" ht="15">
      <c r="A50" s="359" t="s">
        <v>836</v>
      </c>
      <c r="B50" s="251"/>
      <c r="C50" s="251"/>
      <c r="D50" s="366">
        <f>SUM(D46:D49)</f>
        <v>453158167.21000004</v>
      </c>
      <c r="E50" s="366">
        <f>SUM(E46:E49)</f>
        <v>435575356.0900001</v>
      </c>
      <c r="F50" s="366">
        <f>SUM(F45:F49)</f>
        <v>366155094.9200001</v>
      </c>
      <c r="G50" s="367"/>
      <c r="H50" s="366">
        <f>SUM(H45:H49)</f>
        <v>304396504.02000004</v>
      </c>
      <c r="I50" s="240"/>
      <c r="J50" s="244"/>
      <c r="K50" s="244">
        <f>+F50+H50</f>
        <v>670551598.94</v>
      </c>
      <c r="L50" s="240"/>
      <c r="M50" s="245"/>
      <c r="N50" s="240"/>
      <c r="O50" s="240"/>
    </row>
    <row r="51" spans="1:15" ht="15">
      <c r="A51" s="359"/>
      <c r="B51" s="251"/>
      <c r="C51" s="251"/>
      <c r="D51" s="363"/>
      <c r="E51" s="363"/>
      <c r="F51" s="362"/>
      <c r="G51" s="362"/>
      <c r="H51" s="362"/>
      <c r="I51" s="240"/>
      <c r="J51" s="240"/>
      <c r="K51" s="240"/>
      <c r="L51" s="240"/>
      <c r="M51" s="240"/>
      <c r="N51" s="240"/>
      <c r="O51" s="240"/>
    </row>
    <row r="52" spans="1:15" ht="15.75" thickBot="1">
      <c r="A52" s="359" t="s">
        <v>837</v>
      </c>
      <c r="B52" s="251"/>
      <c r="C52" s="251"/>
      <c r="D52" s="370">
        <f>+D43+D50</f>
        <v>480726373.04</v>
      </c>
      <c r="E52" s="370">
        <f>+E43+E50</f>
        <v>446855048.4700001</v>
      </c>
      <c r="F52" s="370" t="e">
        <f>+F43+F50</f>
        <v>#REF!</v>
      </c>
      <c r="G52" s="362"/>
      <c r="H52" s="366" t="e">
        <f>+H43+H50</f>
        <v>#REF!</v>
      </c>
      <c r="I52" s="240"/>
      <c r="J52" s="240"/>
      <c r="K52" s="240"/>
      <c r="L52" s="240"/>
      <c r="M52" s="240"/>
      <c r="N52" s="240"/>
      <c r="O52" s="240"/>
    </row>
    <row r="53" spans="1:15" ht="15.75" thickTop="1">
      <c r="A53" s="359"/>
      <c r="B53" s="251"/>
      <c r="C53" s="251"/>
      <c r="D53" s="422"/>
      <c r="E53" s="363"/>
      <c r="F53" s="366"/>
      <c r="G53" s="362"/>
      <c r="H53" s="366"/>
      <c r="I53" s="240"/>
      <c r="J53" s="240"/>
      <c r="K53" s="240"/>
      <c r="L53" s="240"/>
      <c r="M53" s="240"/>
      <c r="N53" s="240"/>
      <c r="O53" s="240"/>
    </row>
    <row r="54" spans="1:15" ht="15">
      <c r="A54" s="251"/>
      <c r="B54" s="251"/>
      <c r="C54" s="251"/>
      <c r="D54" s="539">
        <f>+D28-D52</f>
        <v>-0.5100001692771912</v>
      </c>
      <c r="E54" s="251"/>
      <c r="F54" s="251"/>
      <c r="G54" s="251"/>
      <c r="H54" s="363"/>
      <c r="I54" s="240"/>
      <c r="J54" s="244"/>
      <c r="K54" s="244"/>
      <c r="L54" s="240"/>
      <c r="M54" s="240"/>
      <c r="N54" s="240"/>
      <c r="O54" s="240"/>
    </row>
    <row r="55" spans="1:15" ht="15">
      <c r="A55" s="401" t="s">
        <v>1143</v>
      </c>
      <c r="B55" s="251"/>
      <c r="C55" s="251"/>
      <c r="D55" s="251"/>
      <c r="E55" s="251"/>
      <c r="F55" s="251"/>
      <c r="G55" s="251"/>
      <c r="H55" s="363"/>
      <c r="I55" s="240"/>
      <c r="J55" s="244"/>
      <c r="K55" s="244"/>
      <c r="L55" s="240"/>
      <c r="M55" s="240"/>
      <c r="N55" s="240"/>
      <c r="O55" s="240"/>
    </row>
    <row r="56" spans="1:15" ht="15" customHeight="1" hidden="1" thickBot="1">
      <c r="A56" s="605"/>
      <c r="B56" s="606"/>
      <c r="C56" s="606"/>
      <c r="D56" s="606"/>
      <c r="E56" s="606"/>
      <c r="F56" s="606"/>
      <c r="G56" s="606"/>
      <c r="H56" s="607"/>
      <c r="I56" s="240"/>
      <c r="J56" s="240"/>
      <c r="K56" s="240"/>
      <c r="L56" s="240"/>
      <c r="M56" s="240"/>
      <c r="N56" s="240"/>
      <c r="O56" s="240"/>
    </row>
    <row r="57" spans="2:5" ht="15">
      <c r="B57" s="242"/>
      <c r="C57" s="242"/>
      <c r="D57" s="242"/>
      <c r="E57" s="242"/>
    </row>
    <row r="58" spans="7:8" ht="15">
      <c r="G58" s="243"/>
      <c r="H58" s="243"/>
    </row>
    <row r="60" spans="5:15" ht="15">
      <c r="E60" s="243"/>
      <c r="F60" s="243"/>
      <c r="G60" s="243"/>
      <c r="O60" s="236"/>
    </row>
    <row r="61" ht="15">
      <c r="O61" s="236"/>
    </row>
    <row r="62" spans="2:15" ht="15">
      <c r="B62" s="235" t="s">
        <v>840</v>
      </c>
      <c r="E62" s="243"/>
      <c r="G62" s="243"/>
      <c r="O62" s="236"/>
    </row>
    <row r="63" spans="5:15" ht="15">
      <c r="E63" s="243"/>
      <c r="G63" s="243"/>
      <c r="O63" s="236"/>
    </row>
    <row r="64" spans="5:15" ht="15">
      <c r="E64" s="243"/>
      <c r="G64" s="243"/>
      <c r="O64" s="236"/>
    </row>
    <row r="65" ht="15">
      <c r="O65" s="236"/>
    </row>
    <row r="66" spans="5:15" ht="15">
      <c r="E66" s="243"/>
      <c r="G66" s="237"/>
      <c r="O66" s="236"/>
    </row>
    <row r="67" ht="15">
      <c r="O67" s="236"/>
    </row>
    <row r="68" spans="1:15" ht="18.75">
      <c r="A68" s="80" t="s">
        <v>839</v>
      </c>
      <c r="B68" s="255"/>
      <c r="D68" s="256" t="s">
        <v>838</v>
      </c>
      <c r="O68" s="236"/>
    </row>
  </sheetData>
  <sheetProtection/>
  <mergeCells count="5">
    <mergeCell ref="A1:H1"/>
    <mergeCell ref="A2:H2"/>
    <mergeCell ref="A3:H3"/>
    <mergeCell ref="A4:H4"/>
    <mergeCell ref="A56:H56"/>
  </mergeCells>
  <printOptions/>
  <pageMargins left="1.5" right="0.7" top="0.75" bottom="0.75" header="0.3" footer="0.3"/>
  <pageSetup horizontalDpi="600" verticalDpi="600" orientation="portrait" scale="75" r:id="rId2"/>
  <drawing r:id="rId1"/>
</worksheet>
</file>

<file path=xl/worksheets/sheet10.xml><?xml version="1.0" encoding="utf-8"?>
<worksheet xmlns="http://schemas.openxmlformats.org/spreadsheetml/2006/main" xmlns:r="http://schemas.openxmlformats.org/officeDocument/2006/relationships">
  <dimension ref="A1:J45"/>
  <sheetViews>
    <sheetView showGridLines="0" zoomScalePageLayoutView="0" workbookViewId="0" topLeftCell="A11">
      <selection activeCell="A17" sqref="A17"/>
    </sheetView>
  </sheetViews>
  <sheetFormatPr defaultColWidth="11.421875" defaultRowHeight="15"/>
  <cols>
    <col min="1" max="1" width="41.28125" style="0" customWidth="1"/>
    <col min="2" max="2" width="15.00390625" style="0" bestFit="1" customWidth="1"/>
    <col min="3" max="3" width="18.7109375" style="0" bestFit="1" customWidth="1"/>
    <col min="4" max="4" width="14.7109375" style="0" bestFit="1" customWidth="1"/>
    <col min="5" max="5" width="22.57421875" style="0" bestFit="1" customWidth="1"/>
    <col min="6" max="6" width="20.8515625" style="0" bestFit="1" customWidth="1"/>
    <col min="7" max="7" width="24.421875" style="0" customWidth="1"/>
    <col min="8" max="8" width="16.8515625" style="0" bestFit="1" customWidth="1"/>
    <col min="9" max="9" width="0" style="0" hidden="1" customWidth="1"/>
  </cols>
  <sheetData>
    <row r="1" spans="1:10" ht="15.75" thickBot="1">
      <c r="A1" s="501">
        <v>2022</v>
      </c>
      <c r="B1" s="4"/>
      <c r="C1" s="4"/>
      <c r="D1" s="4"/>
      <c r="E1" s="4"/>
      <c r="F1" s="4"/>
      <c r="G1" s="4"/>
      <c r="H1" s="4"/>
      <c r="I1" s="4"/>
      <c r="J1" s="4"/>
    </row>
    <row r="2" spans="1:10" ht="15">
      <c r="A2" s="436"/>
      <c r="B2" s="437" t="s">
        <v>819</v>
      </c>
      <c r="C2" s="437" t="s">
        <v>820</v>
      </c>
      <c r="D2" s="437" t="s">
        <v>821</v>
      </c>
      <c r="E2" s="437" t="s">
        <v>822</v>
      </c>
      <c r="F2" s="437" t="s">
        <v>823</v>
      </c>
      <c r="G2" s="437" t="s">
        <v>824</v>
      </c>
      <c r="H2" s="438" t="s">
        <v>147</v>
      </c>
      <c r="I2" s="435"/>
      <c r="J2" s="4"/>
    </row>
    <row r="3" spans="1:10" ht="15">
      <c r="A3" s="439"/>
      <c r="B3" s="413"/>
      <c r="C3" s="413"/>
      <c r="D3" s="413"/>
      <c r="E3" s="413"/>
      <c r="F3" s="413"/>
      <c r="G3" s="413"/>
      <c r="H3" s="502"/>
      <c r="I3" s="435"/>
      <c r="J3" s="4"/>
    </row>
    <row r="4" spans="1:10" ht="15">
      <c r="A4" s="439"/>
      <c r="B4" s="413"/>
      <c r="C4" s="413"/>
      <c r="D4" s="413"/>
      <c r="E4" s="413"/>
      <c r="F4" s="413"/>
      <c r="G4" s="413"/>
      <c r="H4" s="502"/>
      <c r="I4" s="435"/>
      <c r="J4" s="4"/>
    </row>
    <row r="5" spans="1:10" ht="15">
      <c r="A5" s="448" t="s">
        <v>974</v>
      </c>
      <c r="B5" s="336">
        <v>12579325.97</v>
      </c>
      <c r="C5" s="336">
        <v>163061059.83</v>
      </c>
      <c r="D5" s="336">
        <v>4290796.33</v>
      </c>
      <c r="E5" s="336">
        <v>48373528.38</v>
      </c>
      <c r="F5" s="336">
        <v>31044177.19</v>
      </c>
      <c r="G5" s="336">
        <v>0</v>
      </c>
      <c r="H5" s="441">
        <f>SUM(B5:G5)</f>
        <v>259348887.70000002</v>
      </c>
      <c r="I5" s="435"/>
      <c r="J5" s="4"/>
    </row>
    <row r="6" spans="1:10" ht="15">
      <c r="A6" s="439" t="s">
        <v>825</v>
      </c>
      <c r="B6" s="503">
        <v>0</v>
      </c>
      <c r="C6" s="503">
        <v>97586</v>
      </c>
      <c r="D6" s="503">
        <v>1027002.96</v>
      </c>
      <c r="E6" s="503">
        <v>7452218.02</v>
      </c>
      <c r="F6" s="503">
        <v>3044329.99</v>
      </c>
      <c r="G6" s="503">
        <v>0</v>
      </c>
      <c r="H6" s="504">
        <f aca="true" t="shared" si="0" ref="H6:H14">SUM(B6:G6)</f>
        <v>11621136.97</v>
      </c>
      <c r="I6" s="435"/>
      <c r="J6" s="4"/>
    </row>
    <row r="7" spans="1:10" ht="15" hidden="1">
      <c r="A7" s="439" t="s">
        <v>826</v>
      </c>
      <c r="B7" s="335"/>
      <c r="C7" s="335">
        <v>0</v>
      </c>
      <c r="D7" s="335"/>
      <c r="E7" s="335"/>
      <c r="F7" s="335"/>
      <c r="G7" s="335">
        <v>0</v>
      </c>
      <c r="H7" s="441">
        <f t="shared" si="0"/>
        <v>0</v>
      </c>
      <c r="I7" s="435"/>
      <c r="J7" s="4"/>
    </row>
    <row r="8" spans="1:10" ht="15" hidden="1">
      <c r="A8" s="439" t="s">
        <v>827</v>
      </c>
      <c r="B8" s="335"/>
      <c r="C8" s="335"/>
      <c r="D8" s="335"/>
      <c r="E8" s="335"/>
      <c r="F8" s="335"/>
      <c r="G8" s="335"/>
      <c r="H8" s="441">
        <f t="shared" si="0"/>
        <v>0</v>
      </c>
      <c r="I8" s="435"/>
      <c r="J8" s="4"/>
    </row>
    <row r="9" spans="1:10" ht="15" hidden="1">
      <c r="A9" s="439" t="s">
        <v>828</v>
      </c>
      <c r="B9" s="335"/>
      <c r="C9" s="335"/>
      <c r="D9" s="335"/>
      <c r="E9" s="335"/>
      <c r="F9" s="335"/>
      <c r="G9" s="335"/>
      <c r="H9" s="441">
        <f t="shared" si="0"/>
        <v>0</v>
      </c>
      <c r="I9" s="435"/>
      <c r="J9" s="4"/>
    </row>
    <row r="10" spans="1:10" ht="15" hidden="1">
      <c r="A10" s="439" t="s">
        <v>678</v>
      </c>
      <c r="B10" s="335"/>
      <c r="C10" s="335">
        <v>0</v>
      </c>
      <c r="D10" s="335"/>
      <c r="E10" s="335"/>
      <c r="F10" s="335"/>
      <c r="G10" s="335"/>
      <c r="H10" s="441">
        <f t="shared" si="0"/>
        <v>0</v>
      </c>
      <c r="I10" s="435"/>
      <c r="J10" s="4"/>
    </row>
    <row r="11" spans="1:10" ht="15">
      <c r="A11" s="439" t="s">
        <v>975</v>
      </c>
      <c r="B11" s="336">
        <f>SUM(B5:B10)</f>
        <v>12579325.97</v>
      </c>
      <c r="C11" s="336">
        <f>SUM(C5:C10)</f>
        <v>163158645.83</v>
      </c>
      <c r="D11" s="336">
        <f>SUM(D5:D10)</f>
        <v>5317799.29</v>
      </c>
      <c r="E11" s="336">
        <f>SUM(E5:E10)</f>
        <v>55825746.400000006</v>
      </c>
      <c r="F11" s="336">
        <f>SUM(F5:F10)</f>
        <v>34088507.18</v>
      </c>
      <c r="G11" s="336">
        <v>0</v>
      </c>
      <c r="H11" s="441">
        <f t="shared" si="0"/>
        <v>270970024.67</v>
      </c>
      <c r="I11" s="435"/>
      <c r="J11" s="4"/>
    </row>
    <row r="12" spans="1:10" ht="15">
      <c r="A12" s="439" t="s">
        <v>976</v>
      </c>
      <c r="B12" s="336"/>
      <c r="C12" s="336">
        <f>-72025953.5-2640529.13</f>
        <v>-74666482.63</v>
      </c>
      <c r="D12" s="336">
        <v>-3116638.66</v>
      </c>
      <c r="E12" s="336">
        <f>-22550893.12-5647944.43</f>
        <v>-28198837.55</v>
      </c>
      <c r="F12" s="336">
        <f>-19079434.48-1372665.12</f>
        <v>-20452099.6</v>
      </c>
      <c r="G12" s="336"/>
      <c r="H12" s="441">
        <f t="shared" si="0"/>
        <v>-126434058.44</v>
      </c>
      <c r="I12" s="435"/>
      <c r="J12" s="4"/>
    </row>
    <row r="13" spans="1:10" ht="21" customHeight="1">
      <c r="A13" s="439" t="s">
        <v>977</v>
      </c>
      <c r="B13" s="503">
        <v>0</v>
      </c>
      <c r="C13" s="503">
        <f>-5902615.33-293387.76</f>
        <v>-6196003.09</v>
      </c>
      <c r="D13" s="503">
        <f>-460045.08-124449.93</f>
        <v>-584495.01</v>
      </c>
      <c r="E13" s="503">
        <v>-5420603.99</v>
      </c>
      <c r="F13" s="503">
        <v>-1454971.68</v>
      </c>
      <c r="G13" s="503"/>
      <c r="H13" s="504">
        <f>SUM(B13:G13)</f>
        <v>-13656073.77</v>
      </c>
      <c r="I13" s="435"/>
      <c r="J13" s="172"/>
    </row>
    <row r="14" spans="1:10" ht="15">
      <c r="A14" s="439" t="s">
        <v>978</v>
      </c>
      <c r="B14" s="336">
        <f>SUM(B12:B13)</f>
        <v>0</v>
      </c>
      <c r="C14" s="336">
        <f>SUM(C12:C13)</f>
        <v>-80862485.72</v>
      </c>
      <c r="D14" s="336">
        <f>SUM(D12:D13)</f>
        <v>-3701133.67</v>
      </c>
      <c r="E14" s="336">
        <f>SUM(E12:E13)</f>
        <v>-33619441.54</v>
      </c>
      <c r="F14" s="336">
        <f>SUM(F12:F13)</f>
        <v>-21907071.28</v>
      </c>
      <c r="G14" s="336">
        <v>0</v>
      </c>
      <c r="H14" s="441">
        <f t="shared" si="0"/>
        <v>-140090132.21</v>
      </c>
      <c r="I14" s="435"/>
      <c r="J14" s="4"/>
    </row>
    <row r="15" spans="1:10" ht="15">
      <c r="A15" s="448" t="s">
        <v>979</v>
      </c>
      <c r="B15" s="336">
        <f>+B11+B14</f>
        <v>12579325.97</v>
      </c>
      <c r="C15" s="336">
        <f>+C11+C14</f>
        <v>82296160.11000001</v>
      </c>
      <c r="D15" s="336">
        <f>+D11+D14</f>
        <v>1616665.62</v>
      </c>
      <c r="E15" s="336">
        <f>+E11+E14</f>
        <v>22206304.860000007</v>
      </c>
      <c r="F15" s="336">
        <f>+F11+F14</f>
        <v>12181435.899999999</v>
      </c>
      <c r="G15" s="336">
        <v>0</v>
      </c>
      <c r="H15" s="441">
        <f>SUM(B15:G15)</f>
        <v>130879892.46000004</v>
      </c>
      <c r="I15" s="435"/>
      <c r="J15" s="4"/>
    </row>
    <row r="16" spans="1:10" ht="22.5" customHeight="1">
      <c r="A16" s="439"/>
      <c r="B16" s="334"/>
      <c r="C16" s="334"/>
      <c r="D16" s="334"/>
      <c r="E16" s="335"/>
      <c r="F16" s="334"/>
      <c r="G16" s="334"/>
      <c r="H16" s="440"/>
      <c r="I16" s="435"/>
      <c r="J16" s="4"/>
    </row>
    <row r="17" spans="1:10" ht="15.75" thickBot="1">
      <c r="A17" s="505"/>
      <c r="B17" s="442"/>
      <c r="C17" s="442"/>
      <c r="D17" s="442"/>
      <c r="E17" s="443"/>
      <c r="F17" s="442"/>
      <c r="G17" s="442"/>
      <c r="H17" s="444"/>
      <c r="I17" s="435"/>
      <c r="J17" s="4"/>
    </row>
    <row r="18" spans="1:10" ht="15">
      <c r="A18" s="4"/>
      <c r="B18" s="4"/>
      <c r="C18" s="4"/>
      <c r="D18" s="4"/>
      <c r="E18" s="17"/>
      <c r="F18" s="17"/>
      <c r="G18" s="4"/>
      <c r="H18" s="4"/>
      <c r="I18" s="4"/>
      <c r="J18" s="4"/>
    </row>
    <row r="19" spans="1:10" ht="15">
      <c r="A19" s="4"/>
      <c r="B19" s="4"/>
      <c r="C19" s="4"/>
      <c r="D19" s="17"/>
      <c r="E19" s="17"/>
      <c r="F19" s="4"/>
      <c r="G19" s="4"/>
      <c r="H19" s="4"/>
      <c r="I19" s="4"/>
      <c r="J19" s="4"/>
    </row>
    <row r="20" spans="1:10" ht="15">
      <c r="A20" s="4"/>
      <c r="B20" s="4"/>
      <c r="C20" s="4"/>
      <c r="D20" s="4"/>
      <c r="E20" s="17"/>
      <c r="F20" s="4"/>
      <c r="G20" s="4"/>
      <c r="H20" s="4"/>
      <c r="I20" s="4"/>
      <c r="J20" s="4"/>
    </row>
    <row r="21" spans="1:10" ht="15">
      <c r="A21" s="4"/>
      <c r="B21" s="4"/>
      <c r="C21" s="4"/>
      <c r="D21" s="4"/>
      <c r="E21" s="4"/>
      <c r="F21" s="4"/>
      <c r="G21" s="4"/>
      <c r="H21" s="4"/>
      <c r="I21" s="4"/>
      <c r="J21" s="4"/>
    </row>
    <row r="22" spans="1:10" ht="15">
      <c r="A22" s="4"/>
      <c r="B22" s="4"/>
      <c r="C22" s="4"/>
      <c r="D22" s="4"/>
      <c r="E22" s="4"/>
      <c r="F22" s="4"/>
      <c r="G22" s="4"/>
      <c r="H22" s="4"/>
      <c r="I22" s="4"/>
      <c r="J22" s="4"/>
    </row>
    <row r="23" spans="1:10" ht="15">
      <c r="A23" s="401" t="s">
        <v>984</v>
      </c>
      <c r="B23" s="4"/>
      <c r="C23" s="4"/>
      <c r="D23" s="4"/>
      <c r="E23" s="4"/>
      <c r="F23" s="4"/>
      <c r="G23" s="4"/>
      <c r="H23" s="4"/>
      <c r="I23" s="4"/>
      <c r="J23" s="4"/>
    </row>
    <row r="24" spans="1:10" ht="15">
      <c r="A24" s="401" t="s">
        <v>1126</v>
      </c>
      <c r="B24" s="4"/>
      <c r="C24" s="4"/>
      <c r="D24" s="4"/>
      <c r="E24" s="4"/>
      <c r="F24" s="4"/>
      <c r="G24" s="4"/>
      <c r="H24" s="4"/>
      <c r="I24" s="4"/>
      <c r="J24" s="4"/>
    </row>
    <row r="25" spans="1:10" ht="15">
      <c r="A25" s="401" t="s">
        <v>1127</v>
      </c>
      <c r="B25" s="4"/>
      <c r="C25" s="4"/>
      <c r="D25" s="4"/>
      <c r="E25" s="4"/>
      <c r="F25" s="4"/>
      <c r="G25" s="4"/>
      <c r="H25" s="4"/>
      <c r="I25" s="4"/>
      <c r="J25" s="4"/>
    </row>
    <row r="26" spans="1:10" ht="15">
      <c r="A26" s="4"/>
      <c r="B26" s="4"/>
      <c r="C26" s="4"/>
      <c r="D26" s="4"/>
      <c r="E26" s="4"/>
      <c r="F26" s="4"/>
      <c r="G26" s="4"/>
      <c r="H26" s="4"/>
      <c r="I26" s="4"/>
      <c r="J26" s="4"/>
    </row>
    <row r="27" spans="1:10" ht="15">
      <c r="A27" s="501">
        <v>2021</v>
      </c>
      <c r="B27" s="4"/>
      <c r="C27" s="4"/>
      <c r="D27" s="4"/>
      <c r="E27" s="4"/>
      <c r="F27" s="4"/>
      <c r="G27" s="4"/>
      <c r="H27" s="4"/>
      <c r="I27" s="4"/>
      <c r="J27" s="4"/>
    </row>
    <row r="28" spans="1:10" ht="15">
      <c r="A28" s="337"/>
      <c r="B28" s="337" t="s">
        <v>819</v>
      </c>
      <c r="C28" s="337" t="s">
        <v>820</v>
      </c>
      <c r="D28" s="337" t="s">
        <v>821</v>
      </c>
      <c r="E28" s="337" t="s">
        <v>822</v>
      </c>
      <c r="F28" s="337" t="s">
        <v>823</v>
      </c>
      <c r="G28" s="337" t="s">
        <v>824</v>
      </c>
      <c r="H28" s="337" t="s">
        <v>147</v>
      </c>
      <c r="I28" s="4"/>
      <c r="J28" s="4"/>
    </row>
    <row r="29" spans="1:10" ht="15">
      <c r="A29" s="334"/>
      <c r="B29" s="334"/>
      <c r="C29" s="334"/>
      <c r="D29" s="334"/>
      <c r="E29" s="334"/>
      <c r="F29" s="334"/>
      <c r="G29" s="334"/>
      <c r="H29" s="334"/>
      <c r="I29" s="4"/>
      <c r="J29" s="4"/>
    </row>
    <row r="30" spans="1:10" ht="15">
      <c r="A30" s="334"/>
      <c r="B30" s="335"/>
      <c r="C30" s="335"/>
      <c r="D30" s="335"/>
      <c r="E30" s="335"/>
      <c r="F30" s="335"/>
      <c r="G30" s="335"/>
      <c r="H30" s="335"/>
      <c r="I30" s="4"/>
      <c r="J30" s="4"/>
    </row>
    <row r="31" spans="1:10" ht="15">
      <c r="A31" s="448" t="s">
        <v>980</v>
      </c>
      <c r="B31" s="336">
        <v>12579325.97</v>
      </c>
      <c r="C31" s="336">
        <v>165208374.1</v>
      </c>
      <c r="D31" s="336">
        <v>4169253.21</v>
      </c>
      <c r="E31" s="336">
        <v>43318678.78</v>
      </c>
      <c r="F31" s="336">
        <v>25434068.39</v>
      </c>
      <c r="G31" s="336">
        <v>1495727.5</v>
      </c>
      <c r="H31" s="441">
        <v>252205427.95</v>
      </c>
      <c r="I31" s="4"/>
      <c r="J31" s="4"/>
    </row>
    <row r="32" spans="1:10" ht="15">
      <c r="A32" s="334" t="s">
        <v>825</v>
      </c>
      <c r="B32" s="335"/>
      <c r="C32" s="335"/>
      <c r="D32" s="335">
        <v>121543.12</v>
      </c>
      <c r="E32" s="335">
        <v>5054849.6</v>
      </c>
      <c r="F32" s="335">
        <v>5857908.8</v>
      </c>
      <c r="G32" s="335">
        <v>0</v>
      </c>
      <c r="H32" s="335">
        <f aca="true" t="shared" si="1" ref="H32:H38">SUM(B32:G32)</f>
        <v>11034301.52</v>
      </c>
      <c r="I32" s="4"/>
      <c r="J32" s="4"/>
    </row>
    <row r="33" spans="1:10" ht="15">
      <c r="A33" s="334" t="s">
        <v>827</v>
      </c>
      <c r="B33" s="335"/>
      <c r="C33" s="335">
        <v>-2147314.27</v>
      </c>
      <c r="D33" s="335"/>
      <c r="E33" s="335"/>
      <c r="F33" s="335"/>
      <c r="G33" s="335">
        <v>-1495727.5</v>
      </c>
      <c r="H33" s="335">
        <f t="shared" si="1"/>
        <v>-3643041.77</v>
      </c>
      <c r="I33" s="4"/>
      <c r="J33" s="4"/>
    </row>
    <row r="34" spans="1:10" ht="15">
      <c r="A34" s="439" t="s">
        <v>975</v>
      </c>
      <c r="B34" s="336">
        <f aca="true" t="shared" si="2" ref="B34:G34">SUM(B31:B33)</f>
        <v>12579325.97</v>
      </c>
      <c r="C34" s="336">
        <f t="shared" si="2"/>
        <v>163061059.82999998</v>
      </c>
      <c r="D34" s="336">
        <f t="shared" si="2"/>
        <v>4290796.33</v>
      </c>
      <c r="E34" s="336">
        <f t="shared" si="2"/>
        <v>48373528.38</v>
      </c>
      <c r="F34" s="336">
        <f t="shared" si="2"/>
        <v>31291977.19</v>
      </c>
      <c r="G34" s="336">
        <f t="shared" si="2"/>
        <v>0</v>
      </c>
      <c r="H34" s="336">
        <f t="shared" si="1"/>
        <v>259596687.7</v>
      </c>
      <c r="I34" s="4"/>
      <c r="J34" s="4"/>
    </row>
    <row r="35" spans="1:10" ht="15">
      <c r="A35" s="439" t="s">
        <v>976</v>
      </c>
      <c r="B35" s="336"/>
      <c r="C35" s="336">
        <v>-68632505.49</v>
      </c>
      <c r="D35" s="336">
        <v>-2700706.31</v>
      </c>
      <c r="E35" s="336">
        <v>-22550893.12</v>
      </c>
      <c r="F35" s="336">
        <v>-19435569.34</v>
      </c>
      <c r="G35" s="336"/>
      <c r="H35" s="336">
        <f t="shared" si="1"/>
        <v>-113319674.26</v>
      </c>
      <c r="I35" s="4"/>
      <c r="J35" s="4"/>
    </row>
    <row r="36" spans="1:10" ht="15">
      <c r="A36" s="439" t="s">
        <v>977</v>
      </c>
      <c r="B36" s="335"/>
      <c r="C36" s="335">
        <v>-6153241.24</v>
      </c>
      <c r="D36" s="335">
        <v>-415932.35</v>
      </c>
      <c r="E36" s="335">
        <v>-5647944.43</v>
      </c>
      <c r="F36" s="335">
        <v>-1264330.26</v>
      </c>
      <c r="G36" s="335"/>
      <c r="H36" s="335">
        <f t="shared" si="1"/>
        <v>-13481448.28</v>
      </c>
      <c r="I36" s="4"/>
      <c r="J36" s="4"/>
    </row>
    <row r="37" spans="1:10" ht="15">
      <c r="A37" s="334" t="s">
        <v>827</v>
      </c>
      <c r="B37" s="335"/>
      <c r="C37" s="335">
        <v>119264.04</v>
      </c>
      <c r="D37" s="335"/>
      <c r="E37" s="335"/>
      <c r="F37" s="335"/>
      <c r="G37" s="335"/>
      <c r="H37" s="335">
        <f t="shared" si="1"/>
        <v>119264.04</v>
      </c>
      <c r="I37" s="4"/>
      <c r="J37" s="4"/>
    </row>
    <row r="38" spans="1:10" ht="15">
      <c r="A38" s="439" t="s">
        <v>978</v>
      </c>
      <c r="B38" s="336">
        <f aca="true" t="shared" si="3" ref="B38:G38">SUM(B35:B37)</f>
        <v>0</v>
      </c>
      <c r="C38" s="336">
        <f t="shared" si="3"/>
        <v>-74666482.68999998</v>
      </c>
      <c r="D38" s="336">
        <f t="shared" si="3"/>
        <v>-3116638.66</v>
      </c>
      <c r="E38" s="336">
        <f t="shared" si="3"/>
        <v>-28198837.55</v>
      </c>
      <c r="F38" s="336">
        <f t="shared" si="3"/>
        <v>-20699899.6</v>
      </c>
      <c r="G38" s="336">
        <f t="shared" si="3"/>
        <v>0</v>
      </c>
      <c r="H38" s="336">
        <f t="shared" si="1"/>
        <v>-126681858.49999997</v>
      </c>
      <c r="I38" s="4"/>
      <c r="J38" s="4"/>
    </row>
    <row r="39" spans="1:10" ht="15">
      <c r="A39" s="439" t="s">
        <v>981</v>
      </c>
      <c r="B39" s="336">
        <f>+B34+B38</f>
        <v>12579325.97</v>
      </c>
      <c r="C39" s="336">
        <f aca="true" t="shared" si="4" ref="C39:H39">+C34+C38</f>
        <v>88394577.14</v>
      </c>
      <c r="D39" s="336">
        <f t="shared" si="4"/>
        <v>1174157.67</v>
      </c>
      <c r="E39" s="336">
        <f t="shared" si="4"/>
        <v>20174690.830000002</v>
      </c>
      <c r="F39" s="336">
        <f t="shared" si="4"/>
        <v>10592077.59</v>
      </c>
      <c r="G39" s="336">
        <f t="shared" si="4"/>
        <v>0</v>
      </c>
      <c r="H39" s="336">
        <f t="shared" si="4"/>
        <v>132914829.20000002</v>
      </c>
      <c r="I39" s="4"/>
      <c r="J39" s="4"/>
    </row>
    <row r="40" spans="1:10" ht="15">
      <c r="A40" s="4"/>
      <c r="B40" s="4"/>
      <c r="C40" s="4"/>
      <c r="D40" s="4"/>
      <c r="E40" s="4"/>
      <c r="F40" s="4"/>
      <c r="G40" s="4"/>
      <c r="H40" s="4"/>
      <c r="I40" s="4"/>
      <c r="J40" s="4"/>
    </row>
    <row r="41" spans="1:10" ht="15">
      <c r="A41" s="4"/>
      <c r="B41" s="4"/>
      <c r="C41" s="4"/>
      <c r="D41" s="4"/>
      <c r="E41" s="4"/>
      <c r="F41" s="4"/>
      <c r="G41" s="4"/>
      <c r="H41" s="4"/>
      <c r="I41" s="4"/>
      <c r="J41" s="4"/>
    </row>
    <row r="42" spans="1:10" ht="15">
      <c r="A42" s="4"/>
      <c r="B42" s="4"/>
      <c r="C42" s="4"/>
      <c r="D42" s="4"/>
      <c r="E42" s="4"/>
      <c r="F42" s="4"/>
      <c r="G42" s="4"/>
      <c r="H42" s="4"/>
      <c r="I42" s="4"/>
      <c r="J42" s="4"/>
    </row>
    <row r="43" spans="1:10" ht="15">
      <c r="A43" s="401" t="s">
        <v>982</v>
      </c>
      <c r="B43" s="4"/>
      <c r="C43" s="4"/>
      <c r="D43" s="4"/>
      <c r="E43" s="4"/>
      <c r="F43" s="4"/>
      <c r="G43" s="4"/>
      <c r="H43" s="4"/>
      <c r="I43" s="4"/>
      <c r="J43" s="4"/>
    </row>
    <row r="44" spans="1:10" ht="15">
      <c r="A44" s="401" t="s">
        <v>983</v>
      </c>
      <c r="B44" s="4"/>
      <c r="C44" s="4"/>
      <c r="D44" s="4"/>
      <c r="E44" s="4"/>
      <c r="F44" s="4"/>
      <c r="G44" s="4"/>
      <c r="H44" s="4"/>
      <c r="I44" s="4"/>
      <c r="J44" s="4"/>
    </row>
    <row r="45" spans="1:10" ht="15">
      <c r="A45" s="401" t="s">
        <v>985</v>
      </c>
      <c r="B45" s="4"/>
      <c r="C45" s="4"/>
      <c r="D45" s="4"/>
      <c r="E45" s="4"/>
      <c r="F45" s="4"/>
      <c r="G45" s="4"/>
      <c r="H45" s="4"/>
      <c r="I45" s="4"/>
      <c r="J45" s="4"/>
    </row>
  </sheetData>
  <sheetProtection/>
  <printOptions/>
  <pageMargins left="1.59" right="0.7086614173228347" top="0.76" bottom="0.7480314960629921" header="0.31496062992125984" footer="0.31496062992125984"/>
  <pageSetup horizontalDpi="600" verticalDpi="600" orientation="landscape" scale="56" r:id="rId1"/>
</worksheet>
</file>

<file path=xl/worksheets/sheet11.xml><?xml version="1.0" encoding="utf-8"?>
<worksheet xmlns="http://schemas.openxmlformats.org/spreadsheetml/2006/main" xmlns:r="http://schemas.openxmlformats.org/officeDocument/2006/relationships">
  <dimension ref="A1:S211"/>
  <sheetViews>
    <sheetView workbookViewId="0" topLeftCell="A1">
      <selection activeCell="P11" sqref="P11"/>
    </sheetView>
  </sheetViews>
  <sheetFormatPr defaultColWidth="11.421875" defaultRowHeight="15"/>
  <cols>
    <col min="1" max="1" width="5.57421875" style="3" customWidth="1"/>
    <col min="2" max="2" width="49.00390625" style="109" customWidth="1"/>
    <col min="3" max="3" width="1.7109375" style="109" customWidth="1"/>
    <col min="4" max="4" width="18.7109375" style="103" hidden="1" customWidth="1"/>
    <col min="5" max="6" width="18.7109375" style="103" customWidth="1"/>
    <col min="7" max="10" width="18.7109375" style="103" hidden="1" customWidth="1"/>
    <col min="11" max="11" width="19.00390625" style="109" hidden="1" customWidth="1"/>
    <col min="12" max="13" width="0" style="109" hidden="1" customWidth="1"/>
    <col min="14" max="14" width="12.421875" style="109" hidden="1" customWidth="1"/>
    <col min="15" max="15" width="13.140625" style="521" bestFit="1" customWidth="1"/>
    <col min="16" max="16" width="13.140625" style="3" bestFit="1" customWidth="1"/>
    <col min="17" max="17" width="21.00390625" style="3" bestFit="1" customWidth="1"/>
    <col min="18" max="18" width="12.7109375" style="3" bestFit="1" customWidth="1"/>
    <col min="19" max="19" width="11.8515625" style="3" bestFit="1" customWidth="1"/>
    <col min="20" max="16384" width="11.421875" style="3" customWidth="1"/>
  </cols>
  <sheetData>
    <row r="1" spans="2:12" ht="15">
      <c r="B1" s="634" t="s">
        <v>1</v>
      </c>
      <c r="C1" s="634"/>
      <c r="D1" s="634"/>
      <c r="E1" s="634"/>
      <c r="F1" s="634"/>
      <c r="G1" s="634"/>
      <c r="H1" s="634"/>
      <c r="I1" s="634"/>
      <c r="J1" s="634"/>
      <c r="K1" s="634"/>
      <c r="L1" s="634"/>
    </row>
    <row r="2" spans="2:12" ht="15">
      <c r="B2" s="634" t="s">
        <v>27</v>
      </c>
      <c r="C2" s="634"/>
      <c r="D2" s="634"/>
      <c r="E2" s="634"/>
      <c r="F2" s="634"/>
      <c r="G2" s="634"/>
      <c r="H2" s="634"/>
      <c r="I2" s="634"/>
      <c r="J2" s="634"/>
      <c r="K2" s="634"/>
      <c r="L2" s="634"/>
    </row>
    <row r="3" spans="2:12" ht="15">
      <c r="B3" s="634" t="s">
        <v>909</v>
      </c>
      <c r="C3" s="634"/>
      <c r="D3" s="634"/>
      <c r="E3" s="634"/>
      <c r="F3" s="634"/>
      <c r="G3" s="634"/>
      <c r="H3" s="634"/>
      <c r="I3" s="634"/>
      <c r="J3" s="634"/>
      <c r="K3" s="634"/>
      <c r="L3" s="634"/>
    </row>
    <row r="6" ht="15">
      <c r="B6" s="100" t="s">
        <v>28</v>
      </c>
    </row>
    <row r="7" ht="15">
      <c r="B7" s="100"/>
    </row>
    <row r="8" spans="2:11" ht="15">
      <c r="B8" s="196" t="s">
        <v>257</v>
      </c>
      <c r="E8" s="189">
        <v>2022</v>
      </c>
      <c r="F8" s="189">
        <v>2021</v>
      </c>
      <c r="G8" s="189">
        <v>2020</v>
      </c>
      <c r="H8" s="189">
        <v>2019</v>
      </c>
      <c r="I8" s="189">
        <v>2018</v>
      </c>
      <c r="J8" s="189">
        <v>2017</v>
      </c>
      <c r="K8" s="189">
        <v>2016</v>
      </c>
    </row>
    <row r="9" spans="2:11" ht="15">
      <c r="B9" s="109" t="s">
        <v>29</v>
      </c>
      <c r="D9" s="190">
        <v>19139998.12</v>
      </c>
      <c r="E9" s="190">
        <v>13335001.17</v>
      </c>
      <c r="F9" s="190">
        <v>11560900.38</v>
      </c>
      <c r="G9" s="190">
        <v>9817125.56</v>
      </c>
      <c r="H9" s="90">
        <v>21177805.77</v>
      </c>
      <c r="I9" s="90">
        <v>20833208.92</v>
      </c>
      <c r="J9" s="90">
        <v>20520781.23</v>
      </c>
      <c r="K9" s="90">
        <v>19916382.15</v>
      </c>
    </row>
    <row r="10" spans="2:11" ht="15" hidden="1">
      <c r="B10" s="109" t="s">
        <v>510</v>
      </c>
      <c r="D10" s="190">
        <v>35130</v>
      </c>
      <c r="E10" s="190"/>
      <c r="F10" s="190"/>
      <c r="G10" s="190">
        <v>0</v>
      </c>
      <c r="H10" s="90">
        <v>35130</v>
      </c>
      <c r="I10" s="90">
        <v>35130</v>
      </c>
      <c r="J10" s="90">
        <v>35130</v>
      </c>
      <c r="K10" s="90">
        <v>35130</v>
      </c>
    </row>
    <row r="11" spans="2:11" ht="15">
      <c r="B11" s="109" t="s">
        <v>31</v>
      </c>
      <c r="D11" s="190">
        <v>738127.23</v>
      </c>
      <c r="E11" s="190">
        <v>917910.78</v>
      </c>
      <c r="F11" s="190">
        <v>917910.78</v>
      </c>
      <c r="G11" s="190">
        <v>917910.78</v>
      </c>
      <c r="H11" s="90">
        <v>876610.74</v>
      </c>
      <c r="I11" s="90">
        <v>835310.74</v>
      </c>
      <c r="J11" s="90">
        <v>794010.74</v>
      </c>
      <c r="K11" s="90">
        <v>752710.74</v>
      </c>
    </row>
    <row r="12" spans="2:11" ht="15">
      <c r="B12" s="109" t="s">
        <v>32</v>
      </c>
      <c r="D12" s="190">
        <v>1757269.34</v>
      </c>
      <c r="E12" s="190">
        <v>2780926.77</v>
      </c>
      <c r="F12" s="190">
        <v>2376045.33</v>
      </c>
      <c r="G12" s="190">
        <v>1990237.54</v>
      </c>
      <c r="H12" s="90">
        <v>2946548.26</v>
      </c>
      <c r="I12" s="90">
        <v>2669444.12</v>
      </c>
      <c r="J12" s="90">
        <v>2392339.98</v>
      </c>
      <c r="K12" s="90">
        <v>2092829.87</v>
      </c>
    </row>
    <row r="13" spans="2:11" ht="15">
      <c r="B13" s="109" t="s">
        <v>4</v>
      </c>
      <c r="D13" s="190">
        <v>72347.35</v>
      </c>
      <c r="E13" s="190">
        <v>10223.87</v>
      </c>
      <c r="F13" s="190">
        <v>9740.15</v>
      </c>
      <c r="G13" s="190">
        <v>9256.43</v>
      </c>
      <c r="H13" s="90">
        <v>115757.08</v>
      </c>
      <c r="I13" s="90">
        <v>104016.08</v>
      </c>
      <c r="J13" s="90">
        <v>92275.08</v>
      </c>
      <c r="K13" s="90">
        <v>80534.08</v>
      </c>
    </row>
    <row r="14" spans="2:11" ht="15">
      <c r="B14" s="109" t="s">
        <v>33</v>
      </c>
      <c r="D14" s="190">
        <v>121233.3</v>
      </c>
      <c r="E14" s="190">
        <v>28681.4</v>
      </c>
      <c r="F14" s="190">
        <v>23064.04</v>
      </c>
      <c r="G14" s="190">
        <v>16356.84</v>
      </c>
      <c r="H14" s="90">
        <v>141760.67</v>
      </c>
      <c r="I14" s="90">
        <v>136020.92</v>
      </c>
      <c r="J14" s="90">
        <v>130281.17</v>
      </c>
      <c r="K14" s="90">
        <v>125942.99</v>
      </c>
    </row>
    <row r="15" spans="2:11" ht="15">
      <c r="B15" s="103" t="s">
        <v>34</v>
      </c>
      <c r="D15" s="190">
        <v>225688.47</v>
      </c>
      <c r="E15" s="190">
        <v>358290.43</v>
      </c>
      <c r="F15" s="190">
        <v>265332.19</v>
      </c>
      <c r="G15" s="190">
        <v>152346.68</v>
      </c>
      <c r="H15" s="90">
        <v>1013457.11</v>
      </c>
      <c r="I15" s="90">
        <v>822616.06</v>
      </c>
      <c r="J15" s="90">
        <v>631775.01</v>
      </c>
      <c r="K15" s="90">
        <v>445089.51</v>
      </c>
    </row>
    <row r="16" spans="2:11" ht="15">
      <c r="B16" s="103" t="s">
        <v>64</v>
      </c>
      <c r="D16" s="190">
        <v>156641.78</v>
      </c>
      <c r="E16" s="190">
        <v>60305.29</v>
      </c>
      <c r="F16" s="190">
        <v>46548.85</v>
      </c>
      <c r="G16" s="190">
        <v>33433.56</v>
      </c>
      <c r="H16" s="90">
        <v>206488.54</v>
      </c>
      <c r="I16" s="90">
        <v>194341.12</v>
      </c>
      <c r="J16" s="90">
        <v>182193.7</v>
      </c>
      <c r="K16" s="90">
        <v>169072.32</v>
      </c>
    </row>
    <row r="17" spans="2:11" ht="15">
      <c r="B17" s="103" t="s">
        <v>493</v>
      </c>
      <c r="D17" s="190">
        <v>49225.13</v>
      </c>
      <c r="E17" s="190">
        <v>107311.96</v>
      </c>
      <c r="F17" s="190">
        <v>107311.96</v>
      </c>
      <c r="G17" s="190">
        <v>107311.96</v>
      </c>
      <c r="H17" s="90">
        <v>109816.52</v>
      </c>
      <c r="I17" s="90">
        <v>94282.34</v>
      </c>
      <c r="J17" s="90">
        <v>78748.16</v>
      </c>
      <c r="K17" s="90">
        <v>64360.87</v>
      </c>
    </row>
    <row r="18" spans="2:11" ht="15">
      <c r="B18" s="109" t="s">
        <v>35</v>
      </c>
      <c r="D18" s="190">
        <v>13748744.65</v>
      </c>
      <c r="E18" s="190">
        <v>2109885.03</v>
      </c>
      <c r="F18" s="190">
        <v>1300116.72</v>
      </c>
      <c r="G18" s="190">
        <v>495756.16</v>
      </c>
      <c r="H18" s="90">
        <v>14169249.35</v>
      </c>
      <c r="I18" s="90">
        <v>14036796.53</v>
      </c>
      <c r="J18" s="90">
        <v>13904343.71</v>
      </c>
      <c r="K18" s="90">
        <v>13822859.24</v>
      </c>
    </row>
    <row r="19" spans="2:11" ht="15">
      <c r="B19" s="103" t="s">
        <v>494</v>
      </c>
      <c r="D19" s="190">
        <f>5815.41+7245.41+9574.95</f>
        <v>22635.77</v>
      </c>
      <c r="E19" s="233">
        <f>92531.74+5894+8620.31</f>
        <v>107046.05</v>
      </c>
      <c r="F19" s="233">
        <f>92333.02+5894+8070.35</f>
        <v>106297.37000000001</v>
      </c>
      <c r="G19" s="233">
        <f>92134.3+5894+7520.39</f>
        <v>105548.69</v>
      </c>
      <c r="H19" s="90">
        <f>22961.63+5815.41+7245.41</f>
        <v>36022.45</v>
      </c>
      <c r="I19" s="90">
        <f>20130.01+5815.41+7245.41</f>
        <v>33190.83</v>
      </c>
      <c r="J19" s="90">
        <f>17298.39+5815.41+7245.41</f>
        <v>30359.21</v>
      </c>
      <c r="K19" s="90">
        <f>12562.14+5815.41+7245.41</f>
        <v>25622.96</v>
      </c>
    </row>
    <row r="20" spans="2:11" ht="15" hidden="1">
      <c r="B20" s="109" t="s">
        <v>36</v>
      </c>
      <c r="D20" s="104">
        <v>235430.74</v>
      </c>
      <c r="E20" s="104"/>
      <c r="F20" s="104"/>
      <c r="G20" s="104"/>
      <c r="H20" s="104">
        <v>235430.74</v>
      </c>
      <c r="I20" s="104">
        <v>235430.74</v>
      </c>
      <c r="J20" s="104">
        <v>235430.74</v>
      </c>
      <c r="K20" s="104">
        <v>235430.74</v>
      </c>
    </row>
    <row r="21" spans="8:14" ht="15">
      <c r="H21" s="90"/>
      <c r="I21" s="90"/>
      <c r="J21" s="90"/>
      <c r="K21" s="90"/>
      <c r="N21" s="197">
        <f>+G17+G19+G16</f>
        <v>246294.21000000002</v>
      </c>
    </row>
    <row r="22" spans="2:17" ht="15.75" thickBot="1">
      <c r="B22" s="100" t="s">
        <v>37</v>
      </c>
      <c r="C22" s="100"/>
      <c r="D22" s="14">
        <f>SUM(D9:D21)</f>
        <v>36302471.88000001</v>
      </c>
      <c r="E22" s="14">
        <f>SUM(E9:E19)</f>
        <v>19815582.75</v>
      </c>
      <c r="F22" s="14">
        <f>SUM(F9:F20)</f>
        <v>16713267.77</v>
      </c>
      <c r="G22" s="14">
        <f>SUM(G9:G20)</f>
        <v>13645284.2</v>
      </c>
      <c r="H22" s="14">
        <f>SUM(H9:H20)</f>
        <v>41064077.23</v>
      </c>
      <c r="I22" s="14">
        <f>SUM(I9:I20)</f>
        <v>40029788.4</v>
      </c>
      <c r="J22" s="14">
        <f>SUM(J9:J20)</f>
        <v>39027668.730000004</v>
      </c>
      <c r="K22" s="14">
        <f>SUM(K9:K21)</f>
        <v>37765965.47</v>
      </c>
      <c r="L22" s="198">
        <f>+G22+'[2]Balanza de Comprobación 2020'!$I$156</f>
        <v>0</v>
      </c>
      <c r="N22" s="198">
        <f>+N21+'[2]Balanza de Comprobación 2020'!$I$223</f>
        <v>0</v>
      </c>
      <c r="O22" s="521" t="s">
        <v>603</v>
      </c>
      <c r="Q22" s="54">
        <f>+E22-F22</f>
        <v>3102314.9800000004</v>
      </c>
    </row>
    <row r="23" spans="10:11" ht="15.75" thickTop="1">
      <c r="J23" s="90"/>
      <c r="K23" s="90"/>
    </row>
    <row r="24" spans="10:11" ht="15">
      <c r="J24" s="90"/>
      <c r="K24" s="90"/>
    </row>
    <row r="25" spans="2:11" ht="15">
      <c r="B25" s="196" t="s">
        <v>258</v>
      </c>
      <c r="J25" s="90"/>
      <c r="K25" s="90"/>
    </row>
    <row r="26" spans="2:11" ht="15">
      <c r="B26" s="109" t="s">
        <v>29</v>
      </c>
      <c r="D26" s="199">
        <v>1280734.25</v>
      </c>
      <c r="E26" s="90">
        <v>584639.41</v>
      </c>
      <c r="F26" s="90">
        <v>581087.65</v>
      </c>
      <c r="G26" s="90">
        <v>577285.97</v>
      </c>
      <c r="H26" s="90">
        <v>1330935.05</v>
      </c>
      <c r="I26" s="90">
        <v>1313075.01</v>
      </c>
      <c r="J26" s="90">
        <v>1295214.97</v>
      </c>
      <c r="K26" s="90">
        <v>1286682.5</v>
      </c>
    </row>
    <row r="27" spans="2:11" ht="15" hidden="1">
      <c r="B27" s="109" t="s">
        <v>30</v>
      </c>
      <c r="D27" s="199">
        <v>1217.82</v>
      </c>
      <c r="E27" s="199"/>
      <c r="F27" s="199"/>
      <c r="G27" s="90"/>
      <c r="H27" s="90">
        <v>1217.82</v>
      </c>
      <c r="I27" s="90">
        <v>1217.82</v>
      </c>
      <c r="J27" s="90">
        <v>1217.82</v>
      </c>
      <c r="K27" s="90">
        <v>1217.82</v>
      </c>
    </row>
    <row r="28" spans="2:11" ht="15" hidden="1">
      <c r="B28" s="109" t="s">
        <v>31</v>
      </c>
      <c r="D28" s="199"/>
      <c r="E28" s="199"/>
      <c r="F28" s="199"/>
      <c r="G28" s="90"/>
      <c r="H28" s="90"/>
      <c r="I28" s="90"/>
      <c r="J28" s="90"/>
      <c r="K28" s="90"/>
    </row>
    <row r="29" spans="2:11" ht="15">
      <c r="B29" s="109" t="s">
        <v>32</v>
      </c>
      <c r="D29" s="199">
        <v>261656.02</v>
      </c>
      <c r="E29" s="90">
        <v>211714.96</v>
      </c>
      <c r="F29" s="90">
        <v>209215</v>
      </c>
      <c r="G29" s="90">
        <v>206715.04</v>
      </c>
      <c r="H29" s="90">
        <v>564783.3</v>
      </c>
      <c r="I29" s="90">
        <v>480189.64</v>
      </c>
      <c r="J29" s="90">
        <v>395595.98</v>
      </c>
      <c r="K29" s="90">
        <v>311002.32</v>
      </c>
    </row>
    <row r="30" spans="2:11" ht="15" hidden="1">
      <c r="B30" s="109" t="s">
        <v>4</v>
      </c>
      <c r="D30" s="199">
        <v>46520.25</v>
      </c>
      <c r="E30" s="199"/>
      <c r="F30" s="199"/>
      <c r="G30" s="90"/>
      <c r="H30" s="90">
        <v>46520.25</v>
      </c>
      <c r="I30" s="90">
        <v>46520.25</v>
      </c>
      <c r="J30" s="90">
        <v>46520.25</v>
      </c>
      <c r="K30" s="90">
        <v>46520.25</v>
      </c>
    </row>
    <row r="31" spans="2:11" ht="15">
      <c r="B31" s="109" t="s">
        <v>33</v>
      </c>
      <c r="D31" s="199">
        <v>11773.49</v>
      </c>
      <c r="E31" s="90">
        <v>2849</v>
      </c>
      <c r="F31" s="90">
        <v>2849</v>
      </c>
      <c r="G31" s="90">
        <v>2849</v>
      </c>
      <c r="H31" s="90">
        <v>11773.49</v>
      </c>
      <c r="I31" s="90">
        <v>11773.49</v>
      </c>
      <c r="J31" s="90">
        <v>11773.49</v>
      </c>
      <c r="K31" s="90">
        <v>11773.49</v>
      </c>
    </row>
    <row r="32" spans="2:11" ht="15" hidden="1">
      <c r="B32" s="103" t="s">
        <v>34</v>
      </c>
      <c r="D32" s="199">
        <v>5981.25</v>
      </c>
      <c r="E32" s="199"/>
      <c r="F32" s="199"/>
      <c r="H32" s="90">
        <v>6389.06</v>
      </c>
      <c r="I32" s="90">
        <v>6389.06</v>
      </c>
      <c r="J32" s="90">
        <v>6389.06</v>
      </c>
      <c r="K32" s="90">
        <v>6389.06</v>
      </c>
    </row>
    <row r="33" spans="2:11" ht="15">
      <c r="B33" s="103" t="s">
        <v>65</v>
      </c>
      <c r="D33" s="199">
        <v>44640.98</v>
      </c>
      <c r="E33" s="90">
        <v>17949.75</v>
      </c>
      <c r="F33" s="90">
        <v>17250.39</v>
      </c>
      <c r="G33" s="90">
        <v>16551.03</v>
      </c>
      <c r="H33" s="90">
        <v>58479.96</v>
      </c>
      <c r="I33" s="90">
        <v>55481.06</v>
      </c>
      <c r="J33" s="90">
        <v>52482.16</v>
      </c>
      <c r="K33" s="90">
        <v>49483.26</v>
      </c>
    </row>
    <row r="34" spans="2:11" ht="15">
      <c r="B34" s="103" t="s">
        <v>495</v>
      </c>
      <c r="D34" s="199">
        <v>6295</v>
      </c>
      <c r="E34" s="90">
        <v>14720.37</v>
      </c>
      <c r="F34" s="90">
        <v>11769.65</v>
      </c>
      <c r="G34" s="90">
        <v>8914.09</v>
      </c>
      <c r="H34" s="90">
        <v>15203.06</v>
      </c>
      <c r="I34" s="90">
        <v>12773.59</v>
      </c>
      <c r="J34" s="90">
        <v>10344.12</v>
      </c>
      <c r="K34" s="90">
        <v>7914.65</v>
      </c>
    </row>
    <row r="35" spans="2:11" ht="15">
      <c r="B35" s="109" t="s">
        <v>511</v>
      </c>
      <c r="D35" s="199">
        <v>39146.23</v>
      </c>
      <c r="E35" s="90">
        <f>103812.48+2132.52</f>
        <v>105945</v>
      </c>
      <c r="F35" s="90">
        <f>103812.48+164.04</f>
        <v>103976.51999999999</v>
      </c>
      <c r="G35" s="90">
        <v>103812.48</v>
      </c>
      <c r="H35" s="90">
        <v>55319.38</v>
      </c>
      <c r="I35" s="90">
        <v>51616.9</v>
      </c>
      <c r="J35" s="90">
        <v>47914.36</v>
      </c>
      <c r="K35" s="90">
        <v>43503.48</v>
      </c>
    </row>
    <row r="36" spans="4:11" ht="15">
      <c r="D36" s="200"/>
      <c r="E36" s="200"/>
      <c r="F36" s="200"/>
      <c r="G36" s="104"/>
      <c r="H36" s="104"/>
      <c r="I36" s="104"/>
      <c r="J36" s="104"/>
      <c r="K36" s="104"/>
    </row>
    <row r="37" spans="2:17" ht="15.75" thickBot="1">
      <c r="B37" s="100" t="s">
        <v>276</v>
      </c>
      <c r="D37" s="15">
        <f aca="true" t="shared" si="0" ref="D37:K37">SUM(D26:D36)</f>
        <v>1697965.29</v>
      </c>
      <c r="E37" s="14">
        <f>SUM(E26:E36)</f>
        <v>937818.49</v>
      </c>
      <c r="F37" s="14">
        <f>SUM(F26:F36)</f>
        <v>926148.2100000001</v>
      </c>
      <c r="G37" s="14">
        <f t="shared" si="0"/>
        <v>916127.61</v>
      </c>
      <c r="H37" s="14">
        <f t="shared" si="0"/>
        <v>2090621.37</v>
      </c>
      <c r="I37" s="15">
        <f t="shared" si="0"/>
        <v>1979036.8200000003</v>
      </c>
      <c r="J37" s="15">
        <f t="shared" si="0"/>
        <v>1867452.2100000002</v>
      </c>
      <c r="K37" s="15">
        <f t="shared" si="0"/>
        <v>1764486.83</v>
      </c>
      <c r="O37" s="521" t="s">
        <v>603</v>
      </c>
      <c r="Q37" s="427">
        <f>+E37-F37</f>
        <v>11670.279999999912</v>
      </c>
    </row>
    <row r="38" spans="10:11" ht="15.75" thickTop="1">
      <c r="J38" s="90"/>
      <c r="K38" s="90"/>
    </row>
    <row r="39" spans="10:11" ht="15">
      <c r="J39" s="90"/>
      <c r="K39" s="90"/>
    </row>
    <row r="40" spans="2:15" s="173" customFormat="1" ht="15">
      <c r="B40" s="196" t="s">
        <v>259</v>
      </c>
      <c r="C40" s="109"/>
      <c r="D40" s="103"/>
      <c r="E40" s="103"/>
      <c r="F40" s="103"/>
      <c r="G40" s="103"/>
      <c r="H40" s="103"/>
      <c r="I40" s="103"/>
      <c r="J40" s="90"/>
      <c r="K40" s="90"/>
      <c r="L40" s="109"/>
      <c r="M40" s="109"/>
      <c r="N40" s="109"/>
      <c r="O40" s="521"/>
    </row>
    <row r="41" spans="2:15" s="173" customFormat="1" ht="15">
      <c r="B41" s="109" t="s">
        <v>29</v>
      </c>
      <c r="C41" s="109"/>
      <c r="D41" s="107">
        <v>606794.7</v>
      </c>
      <c r="E41" s="90">
        <v>983619.37</v>
      </c>
      <c r="F41" s="90">
        <v>980119.45</v>
      </c>
      <c r="G41" s="90">
        <v>976619.53</v>
      </c>
      <c r="H41" s="90">
        <v>767078.31</v>
      </c>
      <c r="I41" s="90">
        <v>709521.4</v>
      </c>
      <c r="J41" s="90">
        <v>651964.49</v>
      </c>
      <c r="K41" s="90">
        <v>621763.06</v>
      </c>
      <c r="L41" s="109"/>
      <c r="M41" s="109"/>
      <c r="N41" s="109"/>
      <c r="O41" s="521"/>
    </row>
    <row r="42" spans="2:15" s="173" customFormat="1" ht="15" hidden="1">
      <c r="B42" s="109" t="s">
        <v>510</v>
      </c>
      <c r="C42" s="109"/>
      <c r="D42" s="107">
        <v>19639.21</v>
      </c>
      <c r="E42" s="107"/>
      <c r="F42" s="107"/>
      <c r="G42" s="107"/>
      <c r="H42" s="90">
        <v>19639.21</v>
      </c>
      <c r="I42" s="90">
        <v>19639.21</v>
      </c>
      <c r="J42" s="90">
        <v>19639.21</v>
      </c>
      <c r="K42" s="90">
        <v>19639.21</v>
      </c>
      <c r="L42" s="109"/>
      <c r="M42" s="109"/>
      <c r="N42" s="109"/>
      <c r="O42" s="521"/>
    </row>
    <row r="43" spans="2:15" s="173" customFormat="1" ht="15" hidden="1">
      <c r="B43" s="109" t="s">
        <v>31</v>
      </c>
      <c r="C43" s="109"/>
      <c r="D43" s="107">
        <v>382724.01</v>
      </c>
      <c r="E43" s="107"/>
      <c r="F43" s="107"/>
      <c r="G43" s="107"/>
      <c r="H43" s="90">
        <v>382724.01</v>
      </c>
      <c r="I43" s="90">
        <v>382724.01</v>
      </c>
      <c r="J43" s="90">
        <v>382724.01</v>
      </c>
      <c r="K43" s="90">
        <v>382724.01</v>
      </c>
      <c r="L43" s="109"/>
      <c r="M43" s="109"/>
      <c r="N43" s="109"/>
      <c r="O43" s="521"/>
    </row>
    <row r="44" spans="2:15" s="173" customFormat="1" ht="15">
      <c r="B44" s="109" t="s">
        <v>32</v>
      </c>
      <c r="C44" s="109"/>
      <c r="D44" s="107">
        <v>72799</v>
      </c>
      <c r="E44" s="90">
        <v>35852.9</v>
      </c>
      <c r="F44" s="90">
        <v>35852.9</v>
      </c>
      <c r="G44" s="90">
        <v>35852.9</v>
      </c>
      <c r="H44" s="90">
        <v>109036.82</v>
      </c>
      <c r="I44" s="90">
        <v>92931.12</v>
      </c>
      <c r="J44" s="90">
        <v>76825.42</v>
      </c>
      <c r="K44" s="90">
        <v>72799</v>
      </c>
      <c r="L44" s="109"/>
      <c r="M44" s="109"/>
      <c r="N44" s="109"/>
      <c r="O44" s="521"/>
    </row>
    <row r="45" spans="2:15" s="173" customFormat="1" ht="15">
      <c r="B45" s="109" t="s">
        <v>33</v>
      </c>
      <c r="C45" s="109"/>
      <c r="D45" s="107">
        <v>6216.64</v>
      </c>
      <c r="E45" s="90">
        <v>6957.69</v>
      </c>
      <c r="F45" s="90">
        <v>6957.69</v>
      </c>
      <c r="G45" s="90">
        <v>6957.69</v>
      </c>
      <c r="H45" s="90">
        <v>13110.88</v>
      </c>
      <c r="I45" s="90">
        <v>10389.89</v>
      </c>
      <c r="J45" s="90">
        <v>7668.9</v>
      </c>
      <c r="K45" s="90">
        <v>6446.22</v>
      </c>
      <c r="L45" s="109"/>
      <c r="M45" s="109"/>
      <c r="N45" s="109"/>
      <c r="O45" s="521"/>
    </row>
    <row r="46" spans="2:15" s="173" customFormat="1" ht="15">
      <c r="B46" s="103" t="s">
        <v>34</v>
      </c>
      <c r="C46" s="109"/>
      <c r="D46" s="107">
        <v>12506.25</v>
      </c>
      <c r="E46" s="107"/>
      <c r="F46" s="107">
        <v>0</v>
      </c>
      <c r="G46" s="90">
        <v>25978.68</v>
      </c>
      <c r="H46" s="90">
        <v>12914.06</v>
      </c>
      <c r="I46" s="90">
        <v>12914.06</v>
      </c>
      <c r="J46" s="90">
        <v>12914.06</v>
      </c>
      <c r="K46" s="90">
        <v>12914.06</v>
      </c>
      <c r="L46" s="109"/>
      <c r="M46" s="109"/>
      <c r="N46" s="109"/>
      <c r="O46" s="521"/>
    </row>
    <row r="47" spans="2:15" s="173" customFormat="1" ht="15" hidden="1">
      <c r="B47" s="103" t="s">
        <v>497</v>
      </c>
      <c r="C47" s="109"/>
      <c r="D47" s="107">
        <v>11280</v>
      </c>
      <c r="E47" s="107"/>
      <c r="F47" s="107"/>
      <c r="G47" s="90"/>
      <c r="H47" s="90">
        <v>11280</v>
      </c>
      <c r="I47" s="90">
        <v>11280</v>
      </c>
      <c r="J47" s="90">
        <v>11280</v>
      </c>
      <c r="K47" s="90">
        <v>11280</v>
      </c>
      <c r="L47" s="109"/>
      <c r="M47" s="109"/>
      <c r="N47" s="109"/>
      <c r="O47" s="521"/>
    </row>
    <row r="48" spans="2:15" s="173" customFormat="1" ht="15">
      <c r="B48" s="103" t="s">
        <v>496</v>
      </c>
      <c r="C48" s="109"/>
      <c r="D48" s="107">
        <v>1473.39</v>
      </c>
      <c r="E48" s="90">
        <v>6586.96</v>
      </c>
      <c r="F48" s="90">
        <v>6586.96</v>
      </c>
      <c r="G48" s="90">
        <v>6586.96</v>
      </c>
      <c r="H48" s="90">
        <v>1473.39</v>
      </c>
      <c r="I48" s="90">
        <v>1473.39</v>
      </c>
      <c r="J48" s="90">
        <v>1473.39</v>
      </c>
      <c r="K48" s="90">
        <v>1473.39</v>
      </c>
      <c r="L48" s="109"/>
      <c r="M48" s="109"/>
      <c r="N48" s="109"/>
      <c r="O48" s="521"/>
    </row>
    <row r="49" spans="2:15" s="173" customFormat="1" ht="15">
      <c r="B49" s="109" t="s">
        <v>277</v>
      </c>
      <c r="C49" s="109"/>
      <c r="D49" s="107">
        <v>193530.41</v>
      </c>
      <c r="E49" s="90">
        <v>36059.4</v>
      </c>
      <c r="F49" s="90">
        <v>23420.16</v>
      </c>
      <c r="G49" s="90">
        <v>10780.92</v>
      </c>
      <c r="H49" s="90">
        <v>193530.41</v>
      </c>
      <c r="I49" s="90">
        <v>193530.41</v>
      </c>
      <c r="J49" s="90">
        <v>193530.41</v>
      </c>
      <c r="K49" s="90">
        <v>193530.41</v>
      </c>
      <c r="L49" s="109"/>
      <c r="M49" s="109"/>
      <c r="N49" s="109"/>
      <c r="O49" s="521"/>
    </row>
    <row r="50" spans="2:15" s="173" customFormat="1" ht="15">
      <c r="B50" s="109"/>
      <c r="C50" s="109"/>
      <c r="D50" s="200"/>
      <c r="E50" s="200"/>
      <c r="F50" s="200"/>
      <c r="G50" s="104"/>
      <c r="H50" s="104"/>
      <c r="I50" s="90"/>
      <c r="J50" s="90"/>
      <c r="K50" s="90"/>
      <c r="L50" s="109"/>
      <c r="M50" s="109"/>
      <c r="N50" s="109"/>
      <c r="O50" s="521"/>
    </row>
    <row r="51" spans="2:17" s="173" customFormat="1" ht="15.75" thickBot="1">
      <c r="B51" s="100" t="s">
        <v>38</v>
      </c>
      <c r="C51" s="109"/>
      <c r="D51" s="15">
        <f aca="true" t="shared" si="1" ref="D51:K51">SUM(D41:D50)</f>
        <v>1306963.6099999996</v>
      </c>
      <c r="E51" s="108">
        <f>SUM(E41:E50)</f>
        <v>1069076.3199999998</v>
      </c>
      <c r="F51" s="108">
        <f>SUM(F41:F50)</f>
        <v>1052937.16</v>
      </c>
      <c r="G51" s="14">
        <f t="shared" si="1"/>
        <v>1062776.68</v>
      </c>
      <c r="H51" s="14">
        <f t="shared" si="1"/>
        <v>1510787.0899999999</v>
      </c>
      <c r="I51" s="15">
        <f t="shared" si="1"/>
        <v>1434403.49</v>
      </c>
      <c r="J51" s="15">
        <f t="shared" si="1"/>
        <v>1358019.8899999997</v>
      </c>
      <c r="K51" s="15">
        <f t="shared" si="1"/>
        <v>1322569.3599999999</v>
      </c>
      <c r="L51" s="109"/>
      <c r="M51" s="109"/>
      <c r="N51" s="109"/>
      <c r="O51" s="521" t="s">
        <v>603</v>
      </c>
      <c r="Q51" s="427">
        <f>+E51-F51</f>
        <v>16139.159999999916</v>
      </c>
    </row>
    <row r="52" spans="10:11" ht="15.75" thickTop="1">
      <c r="J52" s="90"/>
      <c r="K52" s="90"/>
    </row>
    <row r="53" spans="2:15" s="172" customFormat="1" ht="15">
      <c r="B53" s="109"/>
      <c r="C53" s="109"/>
      <c r="D53" s="103"/>
      <c r="E53" s="103"/>
      <c r="F53" s="103"/>
      <c r="G53" s="103"/>
      <c r="H53" s="103"/>
      <c r="I53" s="103"/>
      <c r="J53" s="90"/>
      <c r="K53" s="90"/>
      <c r="L53" s="109"/>
      <c r="M53" s="109"/>
      <c r="N53" s="109"/>
      <c r="O53" s="521"/>
    </row>
    <row r="54" spans="2:15" s="172" customFormat="1" ht="15">
      <c r="B54" s="109"/>
      <c r="C54" s="109"/>
      <c r="D54" s="103"/>
      <c r="E54" s="103"/>
      <c r="F54" s="103"/>
      <c r="G54" s="103"/>
      <c r="H54" s="103"/>
      <c r="I54" s="103"/>
      <c r="J54" s="90"/>
      <c r="K54" s="90"/>
      <c r="L54" s="109"/>
      <c r="M54" s="109"/>
      <c r="N54" s="109"/>
      <c r="O54" s="521"/>
    </row>
    <row r="55" spans="2:15" s="173" customFormat="1" ht="15">
      <c r="B55" s="196" t="s">
        <v>260</v>
      </c>
      <c r="C55" s="109"/>
      <c r="D55" s="103"/>
      <c r="E55" s="103"/>
      <c r="F55" s="103"/>
      <c r="G55" s="103"/>
      <c r="H55" s="90"/>
      <c r="I55" s="90"/>
      <c r="J55" s="90"/>
      <c r="K55" s="90"/>
      <c r="L55" s="109"/>
      <c r="M55" s="109"/>
      <c r="N55" s="109"/>
      <c r="O55" s="521"/>
    </row>
    <row r="56" spans="2:15" s="173" customFormat="1" ht="18" customHeight="1">
      <c r="B56" s="109" t="s">
        <v>29</v>
      </c>
      <c r="C56" s="109"/>
      <c r="D56" s="107">
        <v>171612.95</v>
      </c>
      <c r="E56" s="107">
        <v>160891.64</v>
      </c>
      <c r="F56" s="107">
        <v>141036.68</v>
      </c>
      <c r="G56" s="90">
        <v>136955.5</v>
      </c>
      <c r="H56" s="90">
        <v>193258.8</v>
      </c>
      <c r="I56" s="90">
        <v>193258.8</v>
      </c>
      <c r="J56" s="90">
        <v>193258.8</v>
      </c>
      <c r="K56" s="90">
        <v>190884.05</v>
      </c>
      <c r="L56" s="109"/>
      <c r="M56" s="109"/>
      <c r="N56" s="109"/>
      <c r="O56" s="521"/>
    </row>
    <row r="57" spans="2:15" s="173" customFormat="1" ht="18" customHeight="1" hidden="1">
      <c r="B57" s="109" t="s">
        <v>30</v>
      </c>
      <c r="C57" s="109"/>
      <c r="D57" s="107"/>
      <c r="E57" s="107"/>
      <c r="F57" s="107"/>
      <c r="G57" s="90"/>
      <c r="H57" s="90"/>
      <c r="I57" s="90"/>
      <c r="J57" s="90"/>
      <c r="K57" s="90"/>
      <c r="L57" s="109"/>
      <c r="M57" s="109"/>
      <c r="N57" s="109"/>
      <c r="O57" s="521"/>
    </row>
    <row r="58" spans="2:15" s="173" customFormat="1" ht="18" customHeight="1" hidden="1">
      <c r="B58" s="109" t="s">
        <v>31</v>
      </c>
      <c r="C58" s="109"/>
      <c r="D58" s="107"/>
      <c r="E58" s="107"/>
      <c r="F58" s="107"/>
      <c r="G58" s="90"/>
      <c r="H58" s="90"/>
      <c r="I58" s="90"/>
      <c r="J58" s="90"/>
      <c r="K58" s="90"/>
      <c r="L58" s="109"/>
      <c r="M58" s="109"/>
      <c r="N58" s="109"/>
      <c r="O58" s="521"/>
    </row>
    <row r="59" spans="2:15" s="173" customFormat="1" ht="18" customHeight="1">
      <c r="B59" s="109" t="s">
        <v>32</v>
      </c>
      <c r="C59" s="109"/>
      <c r="D59" s="107"/>
      <c r="E59" s="90">
        <v>13904.8</v>
      </c>
      <c r="F59" s="90">
        <v>1069.6</v>
      </c>
      <c r="G59" s="90"/>
      <c r="H59" s="90"/>
      <c r="I59" s="90"/>
      <c r="J59" s="90"/>
      <c r="K59" s="90"/>
      <c r="L59" s="109"/>
      <c r="M59" s="109"/>
      <c r="N59" s="109"/>
      <c r="O59" s="521"/>
    </row>
    <row r="60" spans="2:15" s="173" customFormat="1" ht="18" customHeight="1">
      <c r="B60" s="109" t="s">
        <v>4</v>
      </c>
      <c r="C60" s="109"/>
      <c r="D60" s="107">
        <v>3801.46</v>
      </c>
      <c r="E60" s="90">
        <v>1629.24</v>
      </c>
      <c r="F60" s="90">
        <v>1629.24</v>
      </c>
      <c r="G60" s="90">
        <v>1629.24</v>
      </c>
      <c r="H60" s="90">
        <v>15477.44</v>
      </c>
      <c r="I60" s="90">
        <v>13033.58</v>
      </c>
      <c r="J60" s="90">
        <v>10589.8</v>
      </c>
      <c r="K60" s="90">
        <v>7331.4</v>
      </c>
      <c r="L60" s="109"/>
      <c r="M60" s="109"/>
      <c r="N60" s="109"/>
      <c r="O60" s="521"/>
    </row>
    <row r="61" spans="2:15" s="173" customFormat="1" ht="15">
      <c r="B61" s="109" t="s">
        <v>33</v>
      </c>
      <c r="C61" s="109"/>
      <c r="D61" s="107">
        <v>2525.42</v>
      </c>
      <c r="E61" s="90">
        <v>2249.1</v>
      </c>
      <c r="F61" s="90">
        <v>2249.1</v>
      </c>
      <c r="G61" s="90">
        <v>2249.1</v>
      </c>
      <c r="H61" s="90">
        <v>2755</v>
      </c>
      <c r="I61" s="90">
        <v>2755</v>
      </c>
      <c r="J61" s="90">
        <v>2755</v>
      </c>
      <c r="K61" s="90">
        <v>2755</v>
      </c>
      <c r="L61" s="109"/>
      <c r="M61" s="109"/>
      <c r="N61" s="109"/>
      <c r="O61" s="521"/>
    </row>
    <row r="62" spans="2:15" s="173" customFormat="1" ht="15" hidden="1">
      <c r="B62" s="109" t="s">
        <v>497</v>
      </c>
      <c r="C62" s="109"/>
      <c r="D62" s="107">
        <v>14526.56</v>
      </c>
      <c r="E62" s="107"/>
      <c r="F62" s="107"/>
      <c r="G62" s="90"/>
      <c r="H62" s="90">
        <v>15495</v>
      </c>
      <c r="I62" s="90">
        <v>15495</v>
      </c>
      <c r="J62" s="90">
        <v>15495</v>
      </c>
      <c r="K62" s="90">
        <v>15495</v>
      </c>
      <c r="L62" s="109"/>
      <c r="M62" s="109"/>
      <c r="N62" s="109"/>
      <c r="O62" s="521"/>
    </row>
    <row r="63" spans="2:15" s="173" customFormat="1" ht="15">
      <c r="B63" s="109" t="s">
        <v>498</v>
      </c>
      <c r="C63" s="109"/>
      <c r="D63" s="107">
        <v>4682.81</v>
      </c>
      <c r="E63" s="90">
        <v>4078.43</v>
      </c>
      <c r="F63" s="90">
        <v>4078.43</v>
      </c>
      <c r="G63" s="90">
        <v>4078.43</v>
      </c>
      <c r="H63" s="90">
        <v>4995</v>
      </c>
      <c r="I63" s="90">
        <v>4995</v>
      </c>
      <c r="J63" s="90">
        <v>4995</v>
      </c>
      <c r="K63" s="90">
        <v>4995</v>
      </c>
      <c r="L63" s="109"/>
      <c r="M63" s="109"/>
      <c r="N63" s="109"/>
      <c r="O63" s="521"/>
    </row>
    <row r="64" spans="2:15" s="173" customFormat="1" ht="15" hidden="1">
      <c r="B64" s="103" t="s">
        <v>34</v>
      </c>
      <c r="C64" s="109"/>
      <c r="D64" s="107"/>
      <c r="E64" s="107"/>
      <c r="F64" s="107"/>
      <c r="G64" s="90"/>
      <c r="H64" s="90"/>
      <c r="I64" s="90"/>
      <c r="J64" s="90"/>
      <c r="K64" s="90"/>
      <c r="L64" s="109"/>
      <c r="M64" s="109"/>
      <c r="N64" s="109"/>
      <c r="O64" s="521"/>
    </row>
    <row r="65" spans="2:15" s="173" customFormat="1" ht="15">
      <c r="B65" s="103" t="s">
        <v>39</v>
      </c>
      <c r="C65" s="109"/>
      <c r="D65" s="107">
        <v>32333.05</v>
      </c>
      <c r="E65" s="90">
        <f>443.45+1470.08</f>
        <v>1913.53</v>
      </c>
      <c r="F65" s="90">
        <f>443.45+1470.08</f>
        <v>1913.53</v>
      </c>
      <c r="G65" s="90">
        <f>443.45+1470.08</f>
        <v>1913.53</v>
      </c>
      <c r="H65" s="90">
        <f>36640.9+1470.08</f>
        <v>38110.98</v>
      </c>
      <c r="I65" s="90">
        <f>36265.9+735.04</f>
        <v>37000.94</v>
      </c>
      <c r="J65" s="90">
        <v>35890.9</v>
      </c>
      <c r="K65" s="90">
        <v>35515.9</v>
      </c>
      <c r="L65" s="109"/>
      <c r="M65" s="109"/>
      <c r="N65" s="109"/>
      <c r="O65" s="521"/>
    </row>
    <row r="66" spans="2:15" s="173" customFormat="1" ht="15">
      <c r="B66" s="109"/>
      <c r="C66" s="109"/>
      <c r="D66" s="200"/>
      <c r="E66" s="200"/>
      <c r="F66" s="200"/>
      <c r="G66" s="104"/>
      <c r="H66" s="104"/>
      <c r="I66" s="90"/>
      <c r="J66" s="90"/>
      <c r="K66" s="90"/>
      <c r="L66" s="109"/>
      <c r="M66" s="109"/>
      <c r="N66" s="109"/>
      <c r="O66" s="521"/>
    </row>
    <row r="67" spans="2:17" s="173" customFormat="1" ht="15.75" thickBot="1">
      <c r="B67" s="100" t="s">
        <v>40</v>
      </c>
      <c r="C67" s="109"/>
      <c r="D67" s="15">
        <f>SUM(D56:D66)</f>
        <v>229482.25</v>
      </c>
      <c r="E67" s="108">
        <f>SUM(E56:E66)</f>
        <v>184666.74</v>
      </c>
      <c r="F67" s="108">
        <f>SUM(F56:F66)</f>
        <v>151976.58</v>
      </c>
      <c r="G67" s="14">
        <f>SUM(G56:G65)</f>
        <v>146825.8</v>
      </c>
      <c r="H67" s="14">
        <f>SUM(H56:H65)</f>
        <v>270092.22</v>
      </c>
      <c r="I67" s="15">
        <f>SUM(I56:I65)</f>
        <v>266538.31999999995</v>
      </c>
      <c r="J67" s="15">
        <f>SUM(J56:J66)</f>
        <v>262984.5</v>
      </c>
      <c r="K67" s="15">
        <f>SUM(K56:K66)</f>
        <v>256976.34999999998</v>
      </c>
      <c r="L67" s="109"/>
      <c r="M67" s="109"/>
      <c r="N67" s="109"/>
      <c r="O67" s="521" t="s">
        <v>603</v>
      </c>
      <c r="Q67" s="427">
        <f>+E67-F67</f>
        <v>32690.160000000003</v>
      </c>
    </row>
    <row r="68" spans="7:11" ht="15.75" thickTop="1">
      <c r="G68" s="195"/>
      <c r="J68" s="90"/>
      <c r="K68" s="90"/>
    </row>
    <row r="69" spans="10:11" ht="15">
      <c r="J69" s="90"/>
      <c r="K69" s="90"/>
    </row>
    <row r="70" spans="10:11" ht="15">
      <c r="J70" s="90"/>
      <c r="K70" s="90"/>
    </row>
    <row r="71" spans="2:11" ht="15">
      <c r="B71" s="196" t="s">
        <v>623</v>
      </c>
      <c r="H71" s="90"/>
      <c r="I71" s="90"/>
      <c r="J71" s="90"/>
      <c r="K71" s="90"/>
    </row>
    <row r="72" spans="2:11" ht="15">
      <c r="B72" s="109" t="s">
        <v>29</v>
      </c>
      <c r="D72" s="107">
        <v>171612.95</v>
      </c>
      <c r="E72" s="107">
        <v>35771.48</v>
      </c>
      <c r="F72" s="107">
        <v>25876.88</v>
      </c>
      <c r="G72" s="107">
        <v>15982.28</v>
      </c>
      <c r="H72" s="90">
        <v>25620</v>
      </c>
      <c r="I72" s="90">
        <v>0</v>
      </c>
      <c r="J72" s="90"/>
      <c r="K72" s="90"/>
    </row>
    <row r="73" spans="5:11" ht="15">
      <c r="E73" s="104"/>
      <c r="F73" s="104"/>
      <c r="G73" s="104"/>
      <c r="H73" s="104"/>
      <c r="J73" s="90"/>
      <c r="K73" s="90"/>
    </row>
    <row r="74" spans="2:17" ht="15.75" thickBot="1">
      <c r="B74" s="100" t="s">
        <v>624</v>
      </c>
      <c r="D74" s="15">
        <f>SUM(D63:D73)</f>
        <v>438111.06</v>
      </c>
      <c r="E74" s="108">
        <f>SUM(E72:E73)</f>
        <v>35771.48</v>
      </c>
      <c r="F74" s="108">
        <f>SUM(F72:F73)</f>
        <v>25876.88</v>
      </c>
      <c r="G74" s="14">
        <f>SUM(G72:G73)</f>
        <v>15982.28</v>
      </c>
      <c r="H74" s="14">
        <f>SUM(H72:H73)</f>
        <v>25620</v>
      </c>
      <c r="I74" s="15">
        <f>+I72</f>
        <v>0</v>
      </c>
      <c r="J74" s="90"/>
      <c r="K74" s="90"/>
      <c r="O74" s="521" t="s">
        <v>603</v>
      </c>
      <c r="Q74" s="428">
        <f>+E74-F74</f>
        <v>9894.600000000002</v>
      </c>
    </row>
    <row r="75" spans="10:11" ht="15.75" thickTop="1">
      <c r="J75" s="90"/>
      <c r="K75" s="90"/>
    </row>
    <row r="76" spans="10:11" ht="15">
      <c r="J76" s="90"/>
      <c r="K76" s="90"/>
    </row>
    <row r="77" spans="2:11" ht="15">
      <c r="B77" s="196" t="s">
        <v>625</v>
      </c>
      <c r="H77" s="90"/>
      <c r="I77" s="90"/>
      <c r="J77" s="90"/>
      <c r="K77" s="90"/>
    </row>
    <row r="78" spans="2:11" ht="15">
      <c r="B78" s="109" t="s">
        <v>29</v>
      </c>
      <c r="D78" s="107">
        <v>171612.95</v>
      </c>
      <c r="E78" s="107">
        <v>43188.91</v>
      </c>
      <c r="F78" s="107">
        <v>30849.19</v>
      </c>
      <c r="G78" s="107">
        <v>18509.47</v>
      </c>
      <c r="H78" s="90">
        <v>15434.56</v>
      </c>
      <c r="I78" s="90">
        <v>0</v>
      </c>
      <c r="J78" s="90"/>
      <c r="K78" s="90"/>
    </row>
    <row r="79" spans="5:11" ht="15">
      <c r="E79" s="201"/>
      <c r="F79" s="201"/>
      <c r="G79" s="201"/>
      <c r="H79" s="201"/>
      <c r="J79" s="90"/>
      <c r="K79" s="90"/>
    </row>
    <row r="80" spans="2:17" ht="15.75" thickBot="1">
      <c r="B80" s="100" t="s">
        <v>624</v>
      </c>
      <c r="D80" s="15">
        <f>SUM(D69:D79)</f>
        <v>781336.96</v>
      </c>
      <c r="E80" s="14">
        <f>SUM(E78:E79)</f>
        <v>43188.91</v>
      </c>
      <c r="F80" s="14">
        <f>SUM(F78:F79)</f>
        <v>30849.19</v>
      </c>
      <c r="G80" s="14">
        <f>SUM(G78)</f>
        <v>18509.47</v>
      </c>
      <c r="H80" s="14">
        <f>SUM(H78:H79)</f>
        <v>15434.56</v>
      </c>
      <c r="I80" s="15">
        <f>+I78</f>
        <v>0</v>
      </c>
      <c r="J80" s="90"/>
      <c r="K80" s="90"/>
      <c r="O80" s="521" t="s">
        <v>603</v>
      </c>
      <c r="Q80" s="426">
        <f>+E80-F80</f>
        <v>12339.720000000005</v>
      </c>
    </row>
    <row r="81" spans="10:19" ht="15.75" thickTop="1">
      <c r="J81" s="90"/>
      <c r="K81" s="90"/>
      <c r="Q81" s="426">
        <f>SUM(Q7:Q80)</f>
        <v>3185048.9000000004</v>
      </c>
      <c r="S81" s="426">
        <f>+Q81+Q148</f>
        <v>5420603.990000001</v>
      </c>
    </row>
    <row r="82" spans="10:11" ht="15">
      <c r="J82" s="90"/>
      <c r="K82" s="90"/>
    </row>
    <row r="83" spans="10:11" ht="15">
      <c r="J83" s="90"/>
      <c r="K83" s="90"/>
    </row>
    <row r="84" spans="2:11" ht="15">
      <c r="B84" s="100" t="s">
        <v>41</v>
      </c>
      <c r="J84" s="90"/>
      <c r="K84" s="90"/>
    </row>
    <row r="85" spans="10:11" ht="15">
      <c r="J85" s="90"/>
      <c r="K85" s="90"/>
    </row>
    <row r="86" spans="2:11" ht="15">
      <c r="B86" s="109" t="s">
        <v>5</v>
      </c>
      <c r="D86" s="90">
        <v>2364459.22</v>
      </c>
      <c r="E86" s="90">
        <v>4794416.31</v>
      </c>
      <c r="F86" s="90">
        <v>4581168.39</v>
      </c>
      <c r="G86" s="90">
        <v>4367920.47</v>
      </c>
      <c r="H86" s="90">
        <v>3728176.59</v>
      </c>
      <c r="I86" s="90">
        <v>3195056.59</v>
      </c>
      <c r="J86" s="90">
        <v>2661936.59</v>
      </c>
      <c r="K86" s="90">
        <v>2395376.59</v>
      </c>
    </row>
    <row r="87" spans="1:15" s="172" customFormat="1" ht="15">
      <c r="A87" s="92" t="s">
        <v>97</v>
      </c>
      <c r="B87" s="109" t="s">
        <v>689</v>
      </c>
      <c r="C87" s="109"/>
      <c r="D87" s="90"/>
      <c r="E87" s="90">
        <v>106753.79</v>
      </c>
      <c r="F87" s="90">
        <v>8211.83</v>
      </c>
      <c r="G87" s="90"/>
      <c r="H87" s="90"/>
      <c r="I87" s="90"/>
      <c r="J87" s="90"/>
      <c r="K87" s="90"/>
      <c r="L87" s="109"/>
      <c r="M87" s="109"/>
      <c r="N87" s="109"/>
      <c r="O87" s="521"/>
    </row>
    <row r="88" spans="2:11" ht="15">
      <c r="B88" s="109" t="s">
        <v>42</v>
      </c>
      <c r="D88" s="90">
        <v>11666504.44</v>
      </c>
      <c r="E88" s="90">
        <v>15844011.39</v>
      </c>
      <c r="F88" s="90">
        <v>14800216.23</v>
      </c>
      <c r="G88" s="90">
        <v>14029992.38</v>
      </c>
      <c r="H88" s="90">
        <v>13165046.1</v>
      </c>
      <c r="I88" s="90">
        <v>12415775.27</v>
      </c>
      <c r="J88" s="90">
        <v>11666504.44</v>
      </c>
      <c r="K88" s="90">
        <v>11666504.44</v>
      </c>
    </row>
    <row r="89" spans="2:11" ht="15">
      <c r="B89" s="109" t="s">
        <v>6</v>
      </c>
      <c r="D89" s="90">
        <v>562854.95</v>
      </c>
      <c r="E89" s="90">
        <f>454409.6+227112.03</f>
        <v>681521.63</v>
      </c>
      <c r="F89" s="90">
        <f>454409.6+227112.03</f>
        <v>681521.63</v>
      </c>
      <c r="G89" s="90">
        <f>454409.6+227112.03</f>
        <v>681521.63</v>
      </c>
      <c r="H89" s="90">
        <v>681521.63</v>
      </c>
      <c r="I89" s="90">
        <v>681521.63</v>
      </c>
      <c r="J89" s="90">
        <v>681521.63</v>
      </c>
      <c r="K89" s="90">
        <v>634054.95</v>
      </c>
    </row>
    <row r="90" spans="1:11" ht="15">
      <c r="A90" s="92" t="s">
        <v>97</v>
      </c>
      <c r="B90" s="109" t="s">
        <v>696</v>
      </c>
      <c r="D90" s="201"/>
      <c r="E90" s="90">
        <v>480368.16</v>
      </c>
      <c r="F90" s="90">
        <v>380981.52</v>
      </c>
      <c r="G90" s="192"/>
      <c r="H90" s="90"/>
      <c r="I90" s="90"/>
      <c r="J90" s="90"/>
      <c r="K90" s="90"/>
    </row>
    <row r="91" spans="2:11" ht="15.75" thickBot="1">
      <c r="B91" s="100" t="s">
        <v>43</v>
      </c>
      <c r="D91" s="105">
        <f aca="true" t="shared" si="2" ref="D91:K91">SUM(D86:D90)</f>
        <v>14593818.61</v>
      </c>
      <c r="E91" s="105">
        <f>SUM(E86:E90)</f>
        <v>21907071.28</v>
      </c>
      <c r="F91" s="105">
        <f>SUM(F86:F90)</f>
        <v>20452099.599999998</v>
      </c>
      <c r="G91" s="105">
        <f t="shared" si="2"/>
        <v>19079434.48</v>
      </c>
      <c r="H91" s="105">
        <f t="shared" si="2"/>
        <v>17574744.319999997</v>
      </c>
      <c r="I91" s="105">
        <f t="shared" si="2"/>
        <v>16292353.49</v>
      </c>
      <c r="J91" s="105">
        <f t="shared" si="2"/>
        <v>15009962.66</v>
      </c>
      <c r="K91" s="105">
        <f t="shared" si="2"/>
        <v>14695935.979999999</v>
      </c>
    </row>
    <row r="92" spans="10:11" ht="15.75" thickTop="1">
      <c r="J92" s="90"/>
      <c r="K92" s="90"/>
    </row>
    <row r="93" spans="2:11" ht="15">
      <c r="B93" s="231" t="s">
        <v>697</v>
      </c>
      <c r="J93" s="90"/>
      <c r="K93" s="90"/>
    </row>
    <row r="94" spans="10:11" ht="15">
      <c r="J94" s="90"/>
      <c r="K94" s="90"/>
    </row>
    <row r="95" spans="10:11" ht="15">
      <c r="J95" s="90"/>
      <c r="K95" s="90"/>
    </row>
    <row r="96" spans="10:11" ht="15">
      <c r="J96" s="90"/>
      <c r="K96" s="90"/>
    </row>
    <row r="97" spans="2:11" ht="15">
      <c r="B97" s="100" t="s">
        <v>44</v>
      </c>
      <c r="J97" s="90"/>
      <c r="K97" s="90"/>
    </row>
    <row r="98" spans="2:11" ht="15">
      <c r="B98" s="109" t="s">
        <v>45</v>
      </c>
      <c r="D98" s="90">
        <v>11157432.61</v>
      </c>
      <c r="E98" s="90">
        <v>5344892.07</v>
      </c>
      <c r="F98" s="90">
        <v>3634434.79</v>
      </c>
      <c r="G98" s="90">
        <v>1775263.14</v>
      </c>
      <c r="H98" s="90">
        <v>15756036.93</v>
      </c>
      <c r="I98" s="90">
        <v>14458241.2</v>
      </c>
      <c r="J98" s="90">
        <v>13160445.47</v>
      </c>
      <c r="K98" s="90">
        <v>11903520.29</v>
      </c>
    </row>
    <row r="99" spans="2:11" ht="15">
      <c r="B99" s="109" t="s">
        <v>46</v>
      </c>
      <c r="D99" s="90">
        <v>1598208.92</v>
      </c>
      <c r="E99" s="90">
        <v>2162428.73</v>
      </c>
      <c r="F99" s="90">
        <v>1987336.62</v>
      </c>
      <c r="G99" s="90">
        <v>1799473.17</v>
      </c>
      <c r="H99" s="90">
        <v>2133936.3</v>
      </c>
      <c r="I99" s="90">
        <v>1994429.42</v>
      </c>
      <c r="J99" s="90">
        <v>1854922.54</v>
      </c>
      <c r="K99" s="90">
        <v>1718787.15</v>
      </c>
    </row>
    <row r="100" spans="2:11" ht="15">
      <c r="B100" s="109" t="s">
        <v>47</v>
      </c>
      <c r="D100" s="90">
        <v>726693.6</v>
      </c>
      <c r="E100" s="90">
        <v>126384.49</v>
      </c>
      <c r="F100" s="90">
        <v>97829.05</v>
      </c>
      <c r="G100" s="90">
        <v>50023.21</v>
      </c>
      <c r="H100" s="90">
        <v>822478.3</v>
      </c>
      <c r="I100" s="90">
        <v>781911.54</v>
      </c>
      <c r="J100" s="90">
        <v>741344.78</v>
      </c>
      <c r="K100" s="90">
        <v>734019.19</v>
      </c>
    </row>
    <row r="101" spans="2:11" ht="15">
      <c r="B101" s="109" t="s">
        <v>48</v>
      </c>
      <c r="D101" s="90">
        <v>1654357.75</v>
      </c>
      <c r="E101" s="90">
        <v>334997.35</v>
      </c>
      <c r="F101" s="90">
        <v>225829.47</v>
      </c>
      <c r="G101" s="90">
        <v>179973.09</v>
      </c>
      <c r="H101" s="90">
        <v>1817137.97</v>
      </c>
      <c r="I101" s="90">
        <v>1791311.32</v>
      </c>
      <c r="J101" s="90">
        <v>1765484.67</v>
      </c>
      <c r="K101" s="90">
        <v>1714920.28</v>
      </c>
    </row>
    <row r="102" spans="2:11" ht="15">
      <c r="B102" s="109" t="s">
        <v>49</v>
      </c>
      <c r="D102" s="90">
        <v>5560644.54</v>
      </c>
      <c r="E102" s="90">
        <f>404028.01+281.2</f>
        <v>404309.21</v>
      </c>
      <c r="F102" s="90">
        <f>369326.24+281.2</f>
        <v>369607.44</v>
      </c>
      <c r="G102" s="90">
        <f>275405.76+281.2+14089.51</f>
        <v>289776.47000000003</v>
      </c>
      <c r="H102" s="90">
        <v>7803763.43</v>
      </c>
      <c r="I102" s="90">
        <v>7472369.03</v>
      </c>
      <c r="J102" s="90">
        <v>7140974.63</v>
      </c>
      <c r="K102" s="90">
        <v>6459930.8</v>
      </c>
    </row>
    <row r="103" spans="4:11" ht="15">
      <c r="D103" s="201"/>
      <c r="E103" s="192"/>
      <c r="F103" s="192"/>
      <c r="G103" s="192"/>
      <c r="H103" s="90"/>
      <c r="I103" s="90"/>
      <c r="J103" s="90"/>
      <c r="K103" s="90"/>
    </row>
    <row r="104" spans="2:17" ht="15.75" thickBot="1">
      <c r="B104" s="100" t="s">
        <v>50</v>
      </c>
      <c r="D104" s="105">
        <f aca="true" t="shared" si="3" ref="D104:K104">SUM(D98:D103)</f>
        <v>20697337.419999998</v>
      </c>
      <c r="E104" s="105">
        <f>SUM(E98:E103)</f>
        <v>8373011.850000001</v>
      </c>
      <c r="F104" s="105">
        <f>SUM(F98:F103)</f>
        <v>6315037.37</v>
      </c>
      <c r="G104" s="105">
        <f t="shared" si="3"/>
        <v>4094509.0799999996</v>
      </c>
      <c r="H104" s="105">
        <f t="shared" si="3"/>
        <v>28333352.93</v>
      </c>
      <c r="I104" s="105">
        <f t="shared" si="3"/>
        <v>26498262.51</v>
      </c>
      <c r="J104" s="105">
        <f t="shared" si="3"/>
        <v>24663172.09</v>
      </c>
      <c r="K104" s="105">
        <f t="shared" si="3"/>
        <v>22531177.709999997</v>
      </c>
      <c r="O104" s="521" t="s">
        <v>698</v>
      </c>
      <c r="Q104" s="426">
        <f>+E104-F104</f>
        <v>2057974.4800000004</v>
      </c>
    </row>
    <row r="105" spans="10:11" ht="15.75" thickTop="1">
      <c r="J105" s="90"/>
      <c r="K105" s="90"/>
    </row>
    <row r="106" spans="10:11" ht="15">
      <c r="J106" s="90"/>
      <c r="K106" s="90"/>
    </row>
    <row r="107" spans="2:15" s="172" customFormat="1" ht="15">
      <c r="B107" s="109"/>
      <c r="C107" s="109"/>
      <c r="D107" s="103"/>
      <c r="E107" s="103"/>
      <c r="F107" s="103"/>
      <c r="G107" s="103"/>
      <c r="H107" s="103"/>
      <c r="I107" s="103"/>
      <c r="J107" s="90"/>
      <c r="K107" s="90"/>
      <c r="L107" s="109"/>
      <c r="M107" s="109"/>
      <c r="N107" s="109"/>
      <c r="O107" s="521"/>
    </row>
    <row r="108" spans="2:11" ht="15">
      <c r="B108" s="100" t="s">
        <v>51</v>
      </c>
      <c r="J108" s="90"/>
      <c r="K108" s="90"/>
    </row>
    <row r="109" spans="2:11" ht="15">
      <c r="B109" s="100"/>
      <c r="J109" s="90"/>
      <c r="K109" s="90"/>
    </row>
    <row r="110" spans="2:15" s="173" customFormat="1" ht="15">
      <c r="B110" s="109" t="s">
        <v>45</v>
      </c>
      <c r="C110" s="109"/>
      <c r="D110" s="90">
        <v>864909.2</v>
      </c>
      <c r="E110" s="90">
        <v>732595.8</v>
      </c>
      <c r="F110" s="90">
        <v>680791.08</v>
      </c>
      <c r="G110" s="90">
        <v>641925.17</v>
      </c>
      <c r="H110" s="90">
        <v>1070232.1</v>
      </c>
      <c r="I110" s="90">
        <v>1006868.09</v>
      </c>
      <c r="J110" s="90">
        <v>943504.08</v>
      </c>
      <c r="K110" s="90">
        <v>896277.52</v>
      </c>
      <c r="L110" s="109"/>
      <c r="M110" s="109"/>
      <c r="N110" s="109"/>
      <c r="O110" s="521"/>
    </row>
    <row r="111" spans="2:15" s="173" customFormat="1" ht="15">
      <c r="B111" s="109" t="s">
        <v>46</v>
      </c>
      <c r="C111" s="109"/>
      <c r="D111" s="90">
        <v>174955.2</v>
      </c>
      <c r="E111" s="90">
        <v>99284.71</v>
      </c>
      <c r="F111" s="90">
        <v>99284.71</v>
      </c>
      <c r="G111" s="90">
        <v>99284.71</v>
      </c>
      <c r="H111" s="90">
        <v>277776.91</v>
      </c>
      <c r="I111" s="90">
        <v>250762.68</v>
      </c>
      <c r="J111" s="90">
        <v>223748.45</v>
      </c>
      <c r="K111" s="90">
        <v>198505.05</v>
      </c>
      <c r="L111" s="109"/>
      <c r="M111" s="109"/>
      <c r="N111" s="109"/>
      <c r="O111" s="521"/>
    </row>
    <row r="112" spans="2:15" s="173" customFormat="1" ht="15">
      <c r="B112" s="109" t="s">
        <v>47</v>
      </c>
      <c r="C112" s="109"/>
      <c r="D112" s="90">
        <v>1500</v>
      </c>
      <c r="E112" s="90">
        <v>863889.81</v>
      </c>
      <c r="F112" s="90">
        <v>854345.76</v>
      </c>
      <c r="G112" s="90">
        <v>814143.84</v>
      </c>
      <c r="H112" s="90">
        <v>62983.16</v>
      </c>
      <c r="I112" s="90">
        <v>33080.91</v>
      </c>
      <c r="J112" s="90">
        <v>3178.66</v>
      </c>
      <c r="K112" s="90">
        <v>1500</v>
      </c>
      <c r="L112" s="109"/>
      <c r="M112" s="109"/>
      <c r="N112" s="109"/>
      <c r="O112" s="521"/>
    </row>
    <row r="113" spans="2:15" s="173" customFormat="1" ht="15">
      <c r="B113" s="109" t="s">
        <v>48</v>
      </c>
      <c r="C113" s="109"/>
      <c r="D113" s="90">
        <v>146308.07</v>
      </c>
      <c r="E113" s="90">
        <v>110960.55</v>
      </c>
      <c r="F113" s="90">
        <v>110960.55</v>
      </c>
      <c r="G113" s="90">
        <v>110960.55</v>
      </c>
      <c r="H113" s="90">
        <v>157370.57</v>
      </c>
      <c r="I113" s="90">
        <v>155526.82</v>
      </c>
      <c r="J113" s="90">
        <v>153683.07</v>
      </c>
      <c r="K113" s="90">
        <v>149995.57</v>
      </c>
      <c r="L113" s="109"/>
      <c r="M113" s="109"/>
      <c r="N113" s="109"/>
      <c r="O113" s="521"/>
    </row>
    <row r="114" spans="2:15" s="173" customFormat="1" ht="15">
      <c r="B114" s="109" t="s">
        <v>261</v>
      </c>
      <c r="C114" s="109"/>
      <c r="D114" s="202">
        <v>255499.37</v>
      </c>
      <c r="E114" s="193">
        <v>2679.5</v>
      </c>
      <c r="F114" s="193">
        <v>2679.5</v>
      </c>
      <c r="G114" s="193">
        <v>2679.5</v>
      </c>
      <c r="H114" s="90">
        <v>408622.93</v>
      </c>
      <c r="I114" s="90">
        <v>405943.43</v>
      </c>
      <c r="J114" s="90">
        <v>403263.93</v>
      </c>
      <c r="K114" s="90">
        <v>347414.11</v>
      </c>
      <c r="L114" s="109"/>
      <c r="M114" s="109"/>
      <c r="N114" s="109"/>
      <c r="O114" s="521"/>
    </row>
    <row r="115" spans="2:17" s="173" customFormat="1" ht="15.75" thickBot="1">
      <c r="B115" s="100" t="s">
        <v>52</v>
      </c>
      <c r="C115" s="109"/>
      <c r="D115" s="105">
        <f aca="true" t="shared" si="4" ref="D115:K115">SUM(D110:D114)</f>
        <v>1443171.8399999999</v>
      </c>
      <c r="E115" s="105">
        <f>SUM(E110:E114)</f>
        <v>1809410.37</v>
      </c>
      <c r="F115" s="105">
        <f>SUM(F110:F114)</f>
        <v>1748061.5999999999</v>
      </c>
      <c r="G115" s="105">
        <f t="shared" si="4"/>
        <v>1668993.77</v>
      </c>
      <c r="H115" s="105">
        <f t="shared" si="4"/>
        <v>1976985.67</v>
      </c>
      <c r="I115" s="105">
        <f t="shared" si="4"/>
        <v>1852181.93</v>
      </c>
      <c r="J115" s="105">
        <f t="shared" si="4"/>
        <v>1727378.19</v>
      </c>
      <c r="K115" s="105">
        <f t="shared" si="4"/>
        <v>1593692.25</v>
      </c>
      <c r="L115" s="109"/>
      <c r="M115" s="109"/>
      <c r="N115" s="109"/>
      <c r="O115" s="521" t="s">
        <v>698</v>
      </c>
      <c r="Q115" s="90">
        <f>+E115-F115</f>
        <v>61348.77000000025</v>
      </c>
    </row>
    <row r="116" spans="2:15" s="173" customFormat="1" ht="15.75" thickTop="1">
      <c r="B116" s="109"/>
      <c r="C116" s="109"/>
      <c r="D116" s="103"/>
      <c r="E116" s="103"/>
      <c r="F116" s="103"/>
      <c r="G116" s="103"/>
      <c r="H116" s="103"/>
      <c r="I116" s="103"/>
      <c r="J116" s="90"/>
      <c r="K116" s="90"/>
      <c r="L116" s="109"/>
      <c r="M116" s="109"/>
      <c r="N116" s="109"/>
      <c r="O116" s="521"/>
    </row>
    <row r="117" spans="10:11" ht="15">
      <c r="J117" s="90"/>
      <c r="K117" s="90"/>
    </row>
    <row r="118" spans="2:11" ht="15">
      <c r="B118" s="100" t="s">
        <v>620</v>
      </c>
      <c r="J118" s="90"/>
      <c r="K118" s="90"/>
    </row>
    <row r="119" spans="10:11" ht="15">
      <c r="J119" s="90"/>
      <c r="K119" s="90"/>
    </row>
    <row r="120" spans="2:11" ht="15">
      <c r="B120" s="109" t="s">
        <v>45</v>
      </c>
      <c r="D120" s="90">
        <v>761494.16</v>
      </c>
      <c r="E120" s="90">
        <v>842713.79</v>
      </c>
      <c r="F120" s="90">
        <v>749688.35</v>
      </c>
      <c r="G120" s="90">
        <v>616775.27</v>
      </c>
      <c r="H120" s="90">
        <v>1004513.33</v>
      </c>
      <c r="I120" s="90">
        <v>934736.7</v>
      </c>
      <c r="J120" s="90">
        <v>864960.07</v>
      </c>
      <c r="K120" s="90">
        <v>795476.71</v>
      </c>
    </row>
    <row r="121" spans="2:11" ht="15">
      <c r="B121" s="109" t="s">
        <v>46</v>
      </c>
      <c r="D121" s="90">
        <v>233972.57</v>
      </c>
      <c r="E121" s="90">
        <v>33972.42</v>
      </c>
      <c r="F121" s="90">
        <v>33972.42</v>
      </c>
      <c r="G121" s="90">
        <v>33972.42</v>
      </c>
      <c r="H121" s="90">
        <v>269329.59</v>
      </c>
      <c r="I121" s="90">
        <v>255875.45</v>
      </c>
      <c r="J121" s="90">
        <v>242421.31</v>
      </c>
      <c r="K121" s="90">
        <v>234371.32</v>
      </c>
    </row>
    <row r="122" spans="2:11" ht="15">
      <c r="B122" s="109" t="s">
        <v>47</v>
      </c>
      <c r="D122" s="90"/>
      <c r="E122" s="90">
        <v>66686.4</v>
      </c>
      <c r="F122" s="90">
        <v>66686.4</v>
      </c>
      <c r="G122" s="90">
        <v>28522.38</v>
      </c>
      <c r="H122" s="90">
        <v>28509.26</v>
      </c>
      <c r="I122" s="90">
        <v>14254.63</v>
      </c>
      <c r="J122" s="90"/>
      <c r="K122" s="90"/>
    </row>
    <row r="123" spans="2:11" ht="15">
      <c r="B123" s="109" t="s">
        <v>48</v>
      </c>
      <c r="D123" s="90">
        <v>82431.3</v>
      </c>
      <c r="E123" s="90">
        <v>83529.93</v>
      </c>
      <c r="F123" s="90">
        <v>83529.93</v>
      </c>
      <c r="G123" s="90">
        <v>83529.93</v>
      </c>
      <c r="H123" s="90">
        <v>93493.8</v>
      </c>
      <c r="I123" s="90">
        <v>91650.05</v>
      </c>
      <c r="J123" s="90">
        <v>89806.3</v>
      </c>
      <c r="K123" s="90">
        <v>86118.8</v>
      </c>
    </row>
    <row r="124" spans="2:11" ht="15">
      <c r="B124" s="109" t="s">
        <v>53</v>
      </c>
      <c r="D124" s="104">
        <v>131652.35</v>
      </c>
      <c r="E124" s="104">
        <v>13815.98</v>
      </c>
      <c r="F124" s="104">
        <v>8247.74</v>
      </c>
      <c r="G124" s="104">
        <v>2679.5</v>
      </c>
      <c r="H124" s="104">
        <v>223818.09</v>
      </c>
      <c r="I124" s="104">
        <v>221138.59</v>
      </c>
      <c r="J124" s="104">
        <v>218459.09</v>
      </c>
      <c r="K124" s="104">
        <v>185974.51</v>
      </c>
    </row>
    <row r="125" ht="15">
      <c r="K125" s="103"/>
    </row>
    <row r="126" spans="2:17" ht="15.75" thickBot="1">
      <c r="B126" s="100" t="s">
        <v>54</v>
      </c>
      <c r="D126" s="14">
        <f>SUM(D120:D125)</f>
        <v>1209550.3800000001</v>
      </c>
      <c r="E126" s="14">
        <f>SUM(E120:E125)</f>
        <v>1040718.52</v>
      </c>
      <c r="F126" s="14">
        <f>SUM(F120:F125)</f>
        <v>942124.8400000001</v>
      </c>
      <c r="G126" s="14">
        <f>SUM(G120:G124)</f>
        <v>765479.5</v>
      </c>
      <c r="H126" s="14">
        <f>SUM(H120:H125)</f>
        <v>1619664.07</v>
      </c>
      <c r="I126" s="14">
        <f>SUM(I120:I125)</f>
        <v>1517655.42</v>
      </c>
      <c r="J126" s="14">
        <f>SUM(J120:J124)</f>
        <v>1415646.77</v>
      </c>
      <c r="K126" s="14">
        <f>SUM(K120:K124)</f>
        <v>1301941.34</v>
      </c>
      <c r="O126" s="521" t="s">
        <v>698</v>
      </c>
      <c r="Q126" s="427">
        <f>+E126-F126</f>
        <v>98593.67999999993</v>
      </c>
    </row>
    <row r="127" spans="10:11" ht="15.75" thickTop="1">
      <c r="J127" s="90"/>
      <c r="K127" s="90"/>
    </row>
    <row r="128" spans="10:11" ht="15">
      <c r="J128" s="90"/>
      <c r="K128" s="90"/>
    </row>
    <row r="129" spans="2:15" s="173" customFormat="1" ht="15">
      <c r="B129" s="100" t="s">
        <v>278</v>
      </c>
      <c r="C129" s="109"/>
      <c r="D129" s="103"/>
      <c r="E129" s="103"/>
      <c r="F129" s="103"/>
      <c r="G129" s="103"/>
      <c r="H129" s="103"/>
      <c r="I129" s="103"/>
      <c r="J129" s="90"/>
      <c r="K129" s="90"/>
      <c r="L129" s="109"/>
      <c r="M129" s="109"/>
      <c r="N129" s="109"/>
      <c r="O129" s="521"/>
    </row>
    <row r="130" spans="2:15" s="173" customFormat="1" ht="15">
      <c r="B130" s="109"/>
      <c r="C130" s="109"/>
      <c r="D130" s="103"/>
      <c r="E130" s="103"/>
      <c r="F130" s="103"/>
      <c r="G130" s="103"/>
      <c r="H130" s="103"/>
      <c r="I130" s="103"/>
      <c r="J130" s="90"/>
      <c r="K130" s="90"/>
      <c r="L130" s="109"/>
      <c r="M130" s="109"/>
      <c r="N130" s="109"/>
      <c r="O130" s="521"/>
    </row>
    <row r="131" spans="2:15" s="173" customFormat="1" ht="15">
      <c r="B131" s="109" t="s">
        <v>45</v>
      </c>
      <c r="C131" s="109"/>
      <c r="D131" s="90">
        <v>88622.62</v>
      </c>
      <c r="E131" s="90">
        <v>92592.26</v>
      </c>
      <c r="F131" s="90">
        <v>92592.26</v>
      </c>
      <c r="G131" s="90">
        <v>92592.26</v>
      </c>
      <c r="H131" s="90">
        <v>166881.08</v>
      </c>
      <c r="I131" s="90">
        <v>148060.08</v>
      </c>
      <c r="J131" s="90">
        <v>129239.08</v>
      </c>
      <c r="K131" s="90">
        <v>110418.08</v>
      </c>
      <c r="L131" s="109"/>
      <c r="M131" s="109"/>
      <c r="N131" s="109"/>
      <c r="O131" s="521"/>
    </row>
    <row r="132" spans="2:15" s="173" customFormat="1" ht="15">
      <c r="B132" s="109" t="s">
        <v>46</v>
      </c>
      <c r="C132" s="109"/>
      <c r="D132" s="90">
        <v>95654.16</v>
      </c>
      <c r="E132" s="90">
        <v>32827.44</v>
      </c>
      <c r="F132" s="90">
        <v>32827.44</v>
      </c>
      <c r="G132" s="90">
        <v>32827.44</v>
      </c>
      <c r="H132" s="90">
        <v>116314.66</v>
      </c>
      <c r="I132" s="90">
        <v>110739.66</v>
      </c>
      <c r="J132" s="90">
        <v>105164.66</v>
      </c>
      <c r="K132" s="90">
        <v>99589.66</v>
      </c>
      <c r="L132" s="109"/>
      <c r="M132" s="109"/>
      <c r="N132" s="109"/>
      <c r="O132" s="521"/>
    </row>
    <row r="133" spans="2:15" s="173" customFormat="1" ht="15">
      <c r="B133" s="109" t="s">
        <v>47</v>
      </c>
      <c r="C133" s="109"/>
      <c r="D133" s="90"/>
      <c r="E133" s="90">
        <v>1219.8</v>
      </c>
      <c r="F133" s="90">
        <v>1219.8</v>
      </c>
      <c r="G133" s="90">
        <v>1219.8</v>
      </c>
      <c r="H133" s="90">
        <v>8538.54</v>
      </c>
      <c r="I133" s="90">
        <v>4269.27</v>
      </c>
      <c r="J133" s="90"/>
      <c r="K133" s="90"/>
      <c r="L133" s="109"/>
      <c r="M133" s="109"/>
      <c r="N133" s="109"/>
      <c r="O133" s="521"/>
    </row>
    <row r="134" spans="2:15" s="173" customFormat="1" ht="15">
      <c r="B134" s="109" t="s">
        <v>48</v>
      </c>
      <c r="C134" s="109"/>
      <c r="D134" s="90">
        <v>28074.96</v>
      </c>
      <c r="E134" s="90">
        <v>41862.52</v>
      </c>
      <c r="F134" s="90">
        <v>41862.52</v>
      </c>
      <c r="G134" s="90">
        <v>41862.52</v>
      </c>
      <c r="H134" s="90">
        <v>30390.42</v>
      </c>
      <c r="I134" s="90">
        <v>30390.42</v>
      </c>
      <c r="J134" s="90">
        <v>30390.42</v>
      </c>
      <c r="K134" s="90">
        <v>30390.42</v>
      </c>
      <c r="L134" s="109"/>
      <c r="M134" s="109"/>
      <c r="N134" s="109"/>
      <c r="O134" s="521"/>
    </row>
    <row r="135" spans="2:15" s="173" customFormat="1" ht="15">
      <c r="B135" s="109" t="s">
        <v>53</v>
      </c>
      <c r="C135" s="109"/>
      <c r="D135" s="104"/>
      <c r="E135" s="104"/>
      <c r="F135" s="104"/>
      <c r="G135" s="104"/>
      <c r="H135" s="104"/>
      <c r="I135" s="104"/>
      <c r="J135" s="104"/>
      <c r="K135" s="104"/>
      <c r="L135" s="109"/>
      <c r="M135" s="109"/>
      <c r="N135" s="109"/>
      <c r="O135" s="521"/>
    </row>
    <row r="136" spans="2:15" s="173" customFormat="1" ht="15">
      <c r="B136" s="109"/>
      <c r="C136" s="109"/>
      <c r="D136" s="103"/>
      <c r="E136" s="103"/>
      <c r="F136" s="103"/>
      <c r="G136" s="103"/>
      <c r="H136" s="90"/>
      <c r="I136" s="90"/>
      <c r="J136" s="90"/>
      <c r="K136" s="90"/>
      <c r="L136" s="109"/>
      <c r="M136" s="109"/>
      <c r="N136" s="109"/>
      <c r="O136" s="521"/>
    </row>
    <row r="137" spans="2:17" s="173" customFormat="1" ht="15.75" thickBot="1">
      <c r="B137" s="100" t="s">
        <v>55</v>
      </c>
      <c r="C137" s="109"/>
      <c r="D137" s="14">
        <f aca="true" t="shared" si="5" ref="D137:I137">SUM(D131:D136)</f>
        <v>212351.74</v>
      </c>
      <c r="E137" s="14">
        <f t="shared" si="5"/>
        <v>168502.02</v>
      </c>
      <c r="F137" s="14">
        <f t="shared" si="5"/>
        <v>168502.02</v>
      </c>
      <c r="G137" s="14">
        <f t="shared" si="5"/>
        <v>168502.02</v>
      </c>
      <c r="H137" s="14">
        <f t="shared" si="5"/>
        <v>322124.69999999995</v>
      </c>
      <c r="I137" s="14">
        <f t="shared" si="5"/>
        <v>293459.43</v>
      </c>
      <c r="J137" s="14">
        <f>SUM(J131:J135)</f>
        <v>264794.16</v>
      </c>
      <c r="K137" s="14">
        <f>SUM(K131:K136)</f>
        <v>240398.15999999997</v>
      </c>
      <c r="L137" s="109"/>
      <c r="M137" s="109"/>
      <c r="N137" s="109"/>
      <c r="O137" s="434" t="s">
        <v>698</v>
      </c>
      <c r="P137" s="206"/>
      <c r="Q137" s="208">
        <f>+E137-F137</f>
        <v>0</v>
      </c>
    </row>
    <row r="138" spans="10:11" ht="15.75" thickTop="1">
      <c r="J138" s="90"/>
      <c r="K138" s="90"/>
    </row>
    <row r="139" spans="10:11" ht="15">
      <c r="J139" s="90"/>
      <c r="K139" s="90"/>
    </row>
    <row r="140" spans="2:11" ht="15">
      <c r="B140" s="100" t="s">
        <v>626</v>
      </c>
      <c r="J140" s="90"/>
      <c r="K140" s="90"/>
    </row>
    <row r="141" spans="10:11" ht="15">
      <c r="J141" s="90"/>
      <c r="K141" s="90"/>
    </row>
    <row r="142" spans="2:11" ht="15">
      <c r="B142" s="109" t="s">
        <v>53</v>
      </c>
      <c r="D142" s="104"/>
      <c r="E142" s="104">
        <v>67409.25</v>
      </c>
      <c r="F142" s="104">
        <v>52805.36</v>
      </c>
      <c r="G142" s="104">
        <f>15525.97-14089.51</f>
        <v>1436.4599999999991</v>
      </c>
      <c r="H142" s="104">
        <v>437.5</v>
      </c>
      <c r="I142" s="104"/>
      <c r="J142" s="90"/>
      <c r="K142" s="90"/>
    </row>
    <row r="143" spans="2:17" ht="15">
      <c r="B143" s="100" t="s">
        <v>627</v>
      </c>
      <c r="E143" s="106">
        <f>SUM(E142)</f>
        <v>67409.25</v>
      </c>
      <c r="F143" s="106">
        <f>SUM(F142)</f>
        <v>52805.36</v>
      </c>
      <c r="G143" s="106">
        <f>SUM(G142)</f>
        <v>1436.4599999999991</v>
      </c>
      <c r="H143" s="106">
        <f>+H142</f>
        <v>437.5</v>
      </c>
      <c r="I143" s="106">
        <f>+I142</f>
        <v>0</v>
      </c>
      <c r="J143" s="90"/>
      <c r="K143" s="90"/>
      <c r="O143" s="521" t="s">
        <v>698</v>
      </c>
      <c r="Q143" s="426">
        <f>+E143-F143</f>
        <v>14603.89</v>
      </c>
    </row>
    <row r="144" spans="10:11" ht="15">
      <c r="J144" s="90"/>
      <c r="K144" s="90"/>
    </row>
    <row r="145" spans="2:11" ht="15">
      <c r="B145" s="100" t="s">
        <v>673</v>
      </c>
      <c r="J145" s="90"/>
      <c r="K145" s="90"/>
    </row>
    <row r="146" spans="2:11" ht="15">
      <c r="B146" s="109" t="s">
        <v>53</v>
      </c>
      <c r="D146" s="104"/>
      <c r="E146" s="104">
        <v>74284.84</v>
      </c>
      <c r="F146" s="104">
        <v>71250.57</v>
      </c>
      <c r="G146" s="104">
        <v>46466.25</v>
      </c>
      <c r="H146" s="104">
        <v>0</v>
      </c>
      <c r="I146" s="104"/>
      <c r="J146" s="90"/>
      <c r="K146" s="90"/>
    </row>
    <row r="147" spans="2:17" ht="15.75" thickBot="1">
      <c r="B147" s="100" t="s">
        <v>672</v>
      </c>
      <c r="E147" s="105">
        <f>SUM(E146)</f>
        <v>74284.84</v>
      </c>
      <c r="F147" s="105">
        <f>SUM(F146)</f>
        <v>71250.57</v>
      </c>
      <c r="G147" s="105">
        <f>SUM(G146)</f>
        <v>46466.25</v>
      </c>
      <c r="H147" s="105">
        <f>+H146</f>
        <v>0</v>
      </c>
      <c r="I147" s="106">
        <f>+I146</f>
        <v>0</v>
      </c>
      <c r="J147" s="90"/>
      <c r="K147" s="90"/>
      <c r="O147" s="521" t="s">
        <v>698</v>
      </c>
      <c r="Q147" s="429">
        <f>+E147-F147</f>
        <v>3034.2699999999895</v>
      </c>
    </row>
    <row r="148" spans="10:17" ht="15.75" thickTop="1">
      <c r="J148" s="90"/>
      <c r="K148" s="90"/>
      <c r="Q148" s="429">
        <f>SUM(Q97:Q147)</f>
        <v>2235555.090000001</v>
      </c>
    </row>
    <row r="149" spans="10:11" ht="15">
      <c r="J149" s="90"/>
      <c r="K149" s="90"/>
    </row>
    <row r="150" spans="2:15" s="172" customFormat="1" ht="15">
      <c r="B150" s="109"/>
      <c r="C150" s="109"/>
      <c r="D150" s="103"/>
      <c r="E150" s="103"/>
      <c r="F150" s="103"/>
      <c r="G150" s="103"/>
      <c r="H150" s="103"/>
      <c r="I150" s="103"/>
      <c r="J150" s="90"/>
      <c r="K150" s="90"/>
      <c r="L150" s="109"/>
      <c r="M150" s="109"/>
      <c r="N150" s="109"/>
      <c r="O150" s="521"/>
    </row>
    <row r="151" spans="2:11" ht="15">
      <c r="B151" s="100" t="s">
        <v>56</v>
      </c>
      <c r="J151" s="90"/>
      <c r="K151" s="90"/>
    </row>
    <row r="152" spans="2:11" ht="15">
      <c r="B152" s="100"/>
      <c r="J152" s="90"/>
      <c r="K152" s="90"/>
    </row>
    <row r="153" spans="2:11" ht="15">
      <c r="B153" s="109" t="s">
        <v>57</v>
      </c>
      <c r="D153" s="107">
        <f>53855.61+14902.52+1909.28</f>
        <v>70667.41</v>
      </c>
      <c r="E153" s="90">
        <v>70667.41</v>
      </c>
      <c r="F153" s="90">
        <v>70667.41</v>
      </c>
      <c r="G153" s="90">
        <v>70667.41</v>
      </c>
      <c r="H153" s="90">
        <v>70667.41</v>
      </c>
      <c r="I153" s="90">
        <v>70667.41</v>
      </c>
      <c r="J153" s="90">
        <v>70667.41</v>
      </c>
      <c r="K153" s="90">
        <v>70667.41</v>
      </c>
    </row>
    <row r="154" spans="2:11" ht="15">
      <c r="B154" s="109" t="s">
        <v>58</v>
      </c>
      <c r="D154" s="200">
        <f>7150.79+1334.8</f>
        <v>8485.59</v>
      </c>
      <c r="E154" s="104">
        <f>8485.59+127392.8</f>
        <v>135878.39</v>
      </c>
      <c r="F154" s="104">
        <f>8485.59+53080.34</f>
        <v>61565.92999999999</v>
      </c>
      <c r="G154" s="104">
        <f>8485.59+53080.34</f>
        <v>61565.92999999999</v>
      </c>
      <c r="H154" s="104">
        <f>8485.59+42464.26</f>
        <v>50949.850000000006</v>
      </c>
      <c r="I154" s="104">
        <f>8485.59+21232.13</f>
        <v>29717.72</v>
      </c>
      <c r="J154" s="104">
        <v>8485.59</v>
      </c>
      <c r="K154" s="104">
        <v>8485.59</v>
      </c>
    </row>
    <row r="155" spans="4:11" ht="15">
      <c r="D155" s="107"/>
      <c r="E155" s="107"/>
      <c r="F155" s="107"/>
      <c r="G155" s="107"/>
      <c r="H155" s="107"/>
      <c r="I155" s="107"/>
      <c r="J155" s="107"/>
      <c r="K155" s="107"/>
    </row>
    <row r="156" spans="2:11" ht="15.75" thickBot="1">
      <c r="B156" s="100" t="s">
        <v>59</v>
      </c>
      <c r="D156" s="108">
        <f aca="true" t="shared" si="6" ref="D156:K156">SUM(D153:D155)</f>
        <v>79153</v>
      </c>
      <c r="E156" s="108">
        <f>SUM(E153:E155)</f>
        <v>206545.80000000002</v>
      </c>
      <c r="F156" s="108">
        <f>SUM(F153:F155)</f>
        <v>132233.34</v>
      </c>
      <c r="G156" s="108">
        <f t="shared" si="6"/>
        <v>132233.34</v>
      </c>
      <c r="H156" s="108">
        <f t="shared" si="6"/>
        <v>121617.26000000001</v>
      </c>
      <c r="I156" s="108">
        <f t="shared" si="6"/>
        <v>100385.13</v>
      </c>
      <c r="J156" s="108">
        <f t="shared" si="6"/>
        <v>79153</v>
      </c>
      <c r="K156" s="108">
        <f t="shared" si="6"/>
        <v>79153</v>
      </c>
    </row>
    <row r="157" spans="4:11" ht="15.75" thickTop="1">
      <c r="D157" s="107"/>
      <c r="E157" s="107"/>
      <c r="F157" s="107"/>
      <c r="G157" s="107"/>
      <c r="H157" s="107"/>
      <c r="I157" s="107"/>
      <c r="J157" s="90"/>
      <c r="K157" s="90"/>
    </row>
    <row r="158" spans="10:11" ht="15">
      <c r="J158" s="90"/>
      <c r="K158" s="90"/>
    </row>
    <row r="159" spans="2:11" ht="15">
      <c r="B159" s="100" t="s">
        <v>60</v>
      </c>
      <c r="J159" s="90"/>
      <c r="K159" s="90"/>
    </row>
    <row r="160" spans="2:11" ht="15">
      <c r="B160" s="100"/>
      <c r="J160" s="90"/>
      <c r="K160" s="90"/>
    </row>
    <row r="161" spans="2:11" ht="15">
      <c r="B161" s="109" t="s">
        <v>61</v>
      </c>
      <c r="D161" s="107">
        <v>1451.05</v>
      </c>
      <c r="E161" s="90">
        <v>1451.05</v>
      </c>
      <c r="F161" s="90">
        <v>1451.05</v>
      </c>
      <c r="G161" s="90">
        <v>1451.05</v>
      </c>
      <c r="H161" s="90">
        <v>1451.05</v>
      </c>
      <c r="I161" s="90">
        <v>1451.05</v>
      </c>
      <c r="J161" s="90">
        <v>1451.05</v>
      </c>
      <c r="K161" s="90">
        <v>1451.05</v>
      </c>
    </row>
    <row r="162" spans="2:17" ht="15">
      <c r="B162" s="109" t="s">
        <v>61</v>
      </c>
      <c r="D162" s="107">
        <f>608473.69+160915.96+15400.77+9999.32</f>
        <v>794789.7399999999</v>
      </c>
      <c r="E162" s="90">
        <f>472119.86+116792.38+44299.79+19996.66</f>
        <v>653208.6900000001</v>
      </c>
      <c r="F162" s="90">
        <f>334847.26+116792.38+41661.19+19996.66</f>
        <v>513297.49</v>
      </c>
      <c r="G162" s="90">
        <f>235758.13+116792.38+36124.87+19996.66</f>
        <v>408672.04</v>
      </c>
      <c r="H162" s="90">
        <f>1100407.85+209937.58+38242.14+19998.64</f>
        <v>1368586.21</v>
      </c>
      <c r="I162" s="90">
        <f>985146.52+208077.68+36329.69+19998.64</f>
        <v>1249552.5299999998</v>
      </c>
      <c r="J162" s="90">
        <f>869885.19+206217.78+34417.24+19998.64</f>
        <v>1130518.8499999999</v>
      </c>
      <c r="K162" s="90">
        <f>728743.36+184472.95+24804.37+15415.62</f>
        <v>953436.3</v>
      </c>
      <c r="N162" s="203"/>
      <c r="Q162" s="54"/>
    </row>
    <row r="163" spans="4:11" ht="15">
      <c r="D163" s="200"/>
      <c r="E163" s="191"/>
      <c r="F163" s="191"/>
      <c r="G163" s="191"/>
      <c r="H163" s="90"/>
      <c r="I163" s="90"/>
      <c r="J163" s="90"/>
      <c r="K163" s="90"/>
    </row>
    <row r="164" spans="2:11" ht="15.75" thickBot="1">
      <c r="B164" s="100" t="s">
        <v>62</v>
      </c>
      <c r="D164" s="15">
        <f aca="true" t="shared" si="7" ref="D164:K164">SUM(D161:D163)</f>
        <v>796240.7899999999</v>
      </c>
      <c r="E164" s="105">
        <f>SUM(E161:E163)</f>
        <v>654659.7400000001</v>
      </c>
      <c r="F164" s="105">
        <f>SUM(F161:F162)</f>
        <v>514748.54</v>
      </c>
      <c r="G164" s="105">
        <f t="shared" si="7"/>
        <v>410123.08999999997</v>
      </c>
      <c r="H164" s="105">
        <f t="shared" si="7"/>
        <v>1370037.26</v>
      </c>
      <c r="I164" s="15">
        <f t="shared" si="7"/>
        <v>1251003.5799999998</v>
      </c>
      <c r="J164" s="15">
        <f t="shared" si="7"/>
        <v>1131969.9</v>
      </c>
      <c r="K164" s="15">
        <f t="shared" si="7"/>
        <v>954887.3500000001</v>
      </c>
    </row>
    <row r="165" spans="10:11" ht="15.75" thickTop="1">
      <c r="J165" s="90"/>
      <c r="K165" s="90"/>
    </row>
    <row r="166" spans="10:11" ht="15" hidden="1">
      <c r="J166" s="90"/>
      <c r="K166" s="90"/>
    </row>
    <row r="167" spans="10:11" ht="15" hidden="1">
      <c r="J167" s="90"/>
      <c r="K167" s="90"/>
    </row>
    <row r="168" spans="2:11" ht="15" hidden="1">
      <c r="B168" s="100" t="s">
        <v>63</v>
      </c>
      <c r="J168" s="90"/>
      <c r="K168" s="90"/>
    </row>
    <row r="169" spans="10:11" ht="15" hidden="1">
      <c r="J169" s="90"/>
      <c r="K169" s="90"/>
    </row>
    <row r="170" spans="4:11" ht="15">
      <c r="D170" s="107"/>
      <c r="E170" s="107"/>
      <c r="F170" s="107"/>
      <c r="G170" s="107"/>
      <c r="H170" s="107"/>
      <c r="I170" s="107"/>
      <c r="J170" s="90"/>
      <c r="K170" s="90"/>
    </row>
    <row r="171" spans="4:11" ht="15">
      <c r="D171" s="107"/>
      <c r="E171" s="107"/>
      <c r="F171" s="107"/>
      <c r="G171" s="107"/>
      <c r="H171" s="107"/>
      <c r="I171" s="107"/>
      <c r="J171" s="90"/>
      <c r="K171" s="90"/>
    </row>
    <row r="172" spans="2:11" ht="15">
      <c r="B172" s="100" t="s">
        <v>66</v>
      </c>
      <c r="J172" s="90"/>
      <c r="K172" s="90"/>
    </row>
    <row r="173" spans="2:11" ht="15">
      <c r="B173" s="100"/>
      <c r="J173" s="90"/>
      <c r="K173" s="90"/>
    </row>
    <row r="174" spans="2:11" ht="15" hidden="1">
      <c r="B174" s="109" t="s">
        <v>67</v>
      </c>
      <c r="D174" s="107">
        <v>2946.78</v>
      </c>
      <c r="E174" s="107"/>
      <c r="F174" s="107"/>
      <c r="G174" s="107"/>
      <c r="H174" s="90">
        <v>2946.78</v>
      </c>
      <c r="I174" s="90">
        <v>2946.78</v>
      </c>
      <c r="J174" s="90">
        <v>2946.78</v>
      </c>
      <c r="K174" s="90">
        <v>2946.78</v>
      </c>
    </row>
    <row r="175" spans="2:11" ht="15" hidden="1">
      <c r="B175" s="109" t="s">
        <v>68</v>
      </c>
      <c r="D175" s="107">
        <v>164923.22</v>
      </c>
      <c r="E175" s="107"/>
      <c r="F175" s="107"/>
      <c r="G175" s="107"/>
      <c r="H175" s="90">
        <v>164923.22</v>
      </c>
      <c r="I175" s="90">
        <v>164923.22</v>
      </c>
      <c r="J175" s="90">
        <v>164923.22</v>
      </c>
      <c r="K175" s="90">
        <v>164923.22</v>
      </c>
    </row>
    <row r="176" spans="2:15" s="173" customFormat="1" ht="15" hidden="1">
      <c r="B176" s="109" t="s">
        <v>69</v>
      </c>
      <c r="C176" s="109"/>
      <c r="D176" s="107">
        <v>161485.57</v>
      </c>
      <c r="E176" s="107"/>
      <c r="F176" s="107"/>
      <c r="G176" s="107"/>
      <c r="H176" s="90">
        <v>170919.34</v>
      </c>
      <c r="I176" s="90">
        <v>170919.34</v>
      </c>
      <c r="J176" s="90">
        <v>170919.34</v>
      </c>
      <c r="K176" s="90">
        <v>165023.23</v>
      </c>
      <c r="L176" s="109"/>
      <c r="M176" s="109"/>
      <c r="N176" s="109"/>
      <c r="O176" s="521"/>
    </row>
    <row r="177" spans="2:17" ht="15">
      <c r="B177" s="109" t="s">
        <v>262</v>
      </c>
      <c r="D177" s="200">
        <v>70753.2</v>
      </c>
      <c r="E177" s="191">
        <v>226896</v>
      </c>
      <c r="F177" s="191">
        <v>176758.53</v>
      </c>
      <c r="G177" s="90">
        <v>176758.53</v>
      </c>
      <c r="H177" s="90">
        <v>162805.63</v>
      </c>
      <c r="I177" s="90">
        <v>132109.28</v>
      </c>
      <c r="J177" s="90">
        <v>101412.93</v>
      </c>
      <c r="K177" s="90">
        <v>95516.82</v>
      </c>
      <c r="Q177" s="425"/>
    </row>
    <row r="178" spans="2:11" ht="15.75" thickBot="1">
      <c r="B178" s="100" t="s">
        <v>70</v>
      </c>
      <c r="D178" s="15">
        <f aca="true" t="shared" si="8" ref="D178:K178">SUM(D174:D177)</f>
        <v>400108.77</v>
      </c>
      <c r="E178" s="15">
        <f>SUM(E177)</f>
        <v>226896</v>
      </c>
      <c r="F178" s="15">
        <f>SUM(F177)</f>
        <v>176758.53</v>
      </c>
      <c r="G178" s="105">
        <f t="shared" si="8"/>
        <v>176758.53</v>
      </c>
      <c r="H178" s="105">
        <f t="shared" si="8"/>
        <v>501594.97</v>
      </c>
      <c r="I178" s="15">
        <f t="shared" si="8"/>
        <v>470898.62</v>
      </c>
      <c r="J178" s="15">
        <f t="shared" si="8"/>
        <v>440202.26999999996</v>
      </c>
      <c r="K178" s="15">
        <f t="shared" si="8"/>
        <v>428410.05</v>
      </c>
    </row>
    <row r="179" spans="10:11" ht="15.75" thickTop="1">
      <c r="J179" s="90"/>
      <c r="K179" s="90"/>
    </row>
    <row r="180" spans="10:11" ht="15">
      <c r="J180" s="90"/>
      <c r="K180" s="90"/>
    </row>
    <row r="181" spans="10:11" ht="15">
      <c r="J181" s="90"/>
      <c r="K181" s="90"/>
    </row>
    <row r="182" spans="2:11" ht="15">
      <c r="B182" s="100" t="s">
        <v>71</v>
      </c>
      <c r="J182" s="90"/>
      <c r="K182" s="90"/>
    </row>
    <row r="183" spans="10:11" ht="15">
      <c r="J183" s="90"/>
      <c r="K183" s="90"/>
    </row>
    <row r="184" spans="2:11" ht="15">
      <c r="B184" s="109" t="s">
        <v>72</v>
      </c>
      <c r="D184" s="107">
        <v>2701193.01</v>
      </c>
      <c r="E184" s="107">
        <v>1501032.94</v>
      </c>
      <c r="F184" s="107">
        <v>1334251.54</v>
      </c>
      <c r="G184" s="90">
        <v>1167470.14</v>
      </c>
      <c r="H184" s="90">
        <v>2094464.16</v>
      </c>
      <c r="I184" s="90">
        <v>2094464.16</v>
      </c>
      <c r="J184" s="90">
        <v>2094464.16</v>
      </c>
      <c r="K184" s="90">
        <v>2720615.06</v>
      </c>
    </row>
    <row r="185" spans="2:11" ht="15">
      <c r="B185" s="109" t="s">
        <v>73</v>
      </c>
      <c r="D185" s="107">
        <v>2815725.19</v>
      </c>
      <c r="E185" s="107">
        <v>1111999.19</v>
      </c>
      <c r="F185" s="107">
        <v>958646.71</v>
      </c>
      <c r="G185" s="90">
        <v>814121.21</v>
      </c>
      <c r="H185" s="90">
        <v>3810428.72</v>
      </c>
      <c r="I185" s="90">
        <v>3582012.05</v>
      </c>
      <c r="J185" s="90">
        <v>3353595.38</v>
      </c>
      <c r="K185" s="90">
        <v>3090919.65</v>
      </c>
    </row>
    <row r="186" ht="15">
      <c r="K186" s="90">
        <v>876305.27</v>
      </c>
    </row>
    <row r="187" spans="4:11" ht="15" hidden="1">
      <c r="D187" s="107"/>
      <c r="E187" s="107"/>
      <c r="F187" s="107"/>
      <c r="G187" s="107"/>
      <c r="H187" s="90"/>
      <c r="I187" s="90"/>
      <c r="J187" s="90"/>
      <c r="K187" s="90"/>
    </row>
    <row r="188" spans="4:11" ht="15">
      <c r="D188" s="200"/>
      <c r="E188" s="191"/>
      <c r="F188" s="191"/>
      <c r="G188" s="90"/>
      <c r="H188" s="90"/>
      <c r="I188" s="90"/>
      <c r="J188" s="90"/>
      <c r="K188" s="90"/>
    </row>
    <row r="189" spans="2:18" ht="15.75" thickBot="1">
      <c r="B189" s="100" t="s">
        <v>75</v>
      </c>
      <c r="D189" s="15">
        <f>SUM(D184:D188)</f>
        <v>5516918.199999999</v>
      </c>
      <c r="E189" s="15">
        <f>SUM(E184:E188)</f>
        <v>2613032.13</v>
      </c>
      <c r="F189" s="15">
        <f>SUM(F184:F188)</f>
        <v>2292898.25</v>
      </c>
      <c r="G189" s="105">
        <f>SUM(G184:G186)</f>
        <v>1981591.3499999999</v>
      </c>
      <c r="H189" s="105">
        <f>SUM(H184:H188)</f>
        <v>5904892.88</v>
      </c>
      <c r="I189" s="15">
        <f>SUM(I184:I188)</f>
        <v>5676476.21</v>
      </c>
      <c r="J189" s="15">
        <f>SUM(J184:J188)</f>
        <v>5448059.54</v>
      </c>
      <c r="K189" s="15">
        <f>SUM(K184:K188)</f>
        <v>6687839.98</v>
      </c>
      <c r="Q189" s="425"/>
      <c r="R189" s="171"/>
    </row>
    <row r="190" spans="4:11" ht="15.75" thickTop="1">
      <c r="D190" s="107"/>
      <c r="E190" s="107"/>
      <c r="F190" s="107"/>
      <c r="G190" s="107"/>
      <c r="H190" s="107"/>
      <c r="I190" s="107"/>
      <c r="J190" s="90"/>
      <c r="K190" s="90"/>
    </row>
    <row r="191" spans="2:11" ht="15">
      <c r="B191" s="196"/>
      <c r="J191" s="90"/>
      <c r="K191" s="90"/>
    </row>
    <row r="192" spans="10:11" ht="15">
      <c r="J192" s="90"/>
      <c r="K192" s="90"/>
    </row>
    <row r="193" spans="2:11" ht="15">
      <c r="B193" s="100" t="s">
        <v>76</v>
      </c>
      <c r="J193" s="90"/>
      <c r="K193" s="90"/>
    </row>
    <row r="194" spans="10:11" ht="15">
      <c r="J194" s="90"/>
      <c r="K194" s="90"/>
    </row>
    <row r="195" spans="2:16" ht="15">
      <c r="B195" s="109" t="s">
        <v>77</v>
      </c>
      <c r="D195" s="107">
        <v>22854953.15</v>
      </c>
      <c r="E195" s="107">
        <v>27499660.97</v>
      </c>
      <c r="F195" s="107">
        <v>25036905.79</v>
      </c>
      <c r="G195" s="107">
        <v>30081970.72</v>
      </c>
      <c r="H195" s="90">
        <v>29028810.35</v>
      </c>
      <c r="I195" s="90">
        <f>28477609.99+2588.25</f>
        <v>28480198.24</v>
      </c>
      <c r="J195" s="90">
        <v>27926409.63</v>
      </c>
      <c r="K195" s="90">
        <v>24588754.29</v>
      </c>
      <c r="P195" s="535">
        <f>+E195-F195</f>
        <v>2462755.1799999997</v>
      </c>
    </row>
    <row r="196" spans="2:16" ht="15">
      <c r="B196" s="109" t="s">
        <v>78</v>
      </c>
      <c r="D196" s="107">
        <f>700954.05</f>
        <v>700954.05</v>
      </c>
      <c r="E196" s="107">
        <v>700954.05</v>
      </c>
      <c r="F196" s="107">
        <v>700954.05</v>
      </c>
      <c r="G196" s="107">
        <v>700954.05</v>
      </c>
      <c r="H196" s="90">
        <v>700954.05</v>
      </c>
      <c r="I196" s="90">
        <v>700954.05</v>
      </c>
      <c r="J196" s="90">
        <v>700954.05</v>
      </c>
      <c r="K196" s="90">
        <v>700954.05</v>
      </c>
      <c r="P196" s="535">
        <f>+E196-F196</f>
        <v>0</v>
      </c>
    </row>
    <row r="197" spans="2:16" ht="15">
      <c r="B197" s="109" t="s">
        <v>630</v>
      </c>
      <c r="D197" s="107"/>
      <c r="E197" s="107">
        <v>14789.4</v>
      </c>
      <c r="F197" s="107">
        <v>11240.04</v>
      </c>
      <c r="G197" s="107">
        <v>7690.68</v>
      </c>
      <c r="H197" s="90">
        <v>5176.5</v>
      </c>
      <c r="I197" s="90"/>
      <c r="J197" s="90"/>
      <c r="K197" s="90"/>
      <c r="P197" s="535">
        <f>+E197-F197</f>
        <v>3549.3599999999988</v>
      </c>
    </row>
    <row r="198" spans="2:16" ht="15">
      <c r="B198" s="109" t="s">
        <v>74</v>
      </c>
      <c r="D198" s="107">
        <v>861431.93</v>
      </c>
      <c r="E198" s="107">
        <v>928361.99</v>
      </c>
      <c r="F198" s="107">
        <v>928361.99</v>
      </c>
      <c r="G198" s="107">
        <v>928361.99</v>
      </c>
      <c r="H198" s="90">
        <v>920925.29</v>
      </c>
      <c r="I198" s="90">
        <v>906051.95</v>
      </c>
      <c r="J198" s="90">
        <v>891178.61</v>
      </c>
      <c r="K198" s="90"/>
      <c r="P198" s="535">
        <f>+E198-F198</f>
        <v>0</v>
      </c>
    </row>
    <row r="199" spans="2:11" ht="15.75" thickBot="1">
      <c r="B199" s="100" t="s">
        <v>79</v>
      </c>
      <c r="D199" s="15">
        <f aca="true" t="shared" si="9" ref="D199:K199">SUM(D195:D198)</f>
        <v>24417339.13</v>
      </c>
      <c r="E199" s="15">
        <f>SUM(E195:E198)</f>
        <v>29143766.409999996</v>
      </c>
      <c r="F199" s="15">
        <f>SUM(F195:F198)</f>
        <v>26677461.869999997</v>
      </c>
      <c r="G199" s="105">
        <f t="shared" si="9"/>
        <v>31718977.439999998</v>
      </c>
      <c r="H199" s="105">
        <f t="shared" si="9"/>
        <v>30655866.19</v>
      </c>
      <c r="I199" s="15">
        <f t="shared" si="9"/>
        <v>30087204.24</v>
      </c>
      <c r="J199" s="15">
        <f t="shared" si="9"/>
        <v>29518542.29</v>
      </c>
      <c r="K199" s="15">
        <f t="shared" si="9"/>
        <v>25289708.34</v>
      </c>
    </row>
    <row r="200" ht="16.5" thickBot="1" thickTop="1">
      <c r="J200" s="109"/>
    </row>
    <row r="201" spans="5:15" ht="15.75" thickBot="1">
      <c r="E201" s="221">
        <f>+E22+E37+E51+E67+E74+E80+E91+E104+E115+E126+E137+E143+E147+E156+E164+E178+E189+E199</f>
        <v>88371412.9</v>
      </c>
      <c r="F201" s="221">
        <f>+F22+F37+F51+F67+F74+F80+F91+F104+F115+F126+F137+F143+F147+F156+F164+F178+F189+F199</f>
        <v>78445037.68</v>
      </c>
      <c r="G201" s="221">
        <f>+G22+G37+G51+G67+G74+G80+G91+G104+G115+G126+G137+G143+G147+G156+G164+G178+G189+G199</f>
        <v>76050011.35000001</v>
      </c>
      <c r="H201" s="222">
        <f>+H22+H37+H51+H67+H91+H104+H115+H126+H137+H156+H164+H178+H189+H199+H74+H80+H143</f>
        <v>133357950.22</v>
      </c>
      <c r="I201" s="110">
        <f>+I22+I37+I51+I67+I91+I104+I115+I126+I137+I156+I164+I178+I189+I199+I74+I80+I143</f>
        <v>127749647.59</v>
      </c>
      <c r="J201" s="110">
        <f>+J22+J37+J51+J67+J91+J104+J115+J126+J137+J156+J164+J178+J189+J199</f>
        <v>122215006.20000002</v>
      </c>
      <c r="O201" s="434"/>
    </row>
    <row r="202" spans="7:10" ht="15">
      <c r="G202" s="218">
        <f>+G201+'[2]Balanza de Comprobación 2020'!$I$258</f>
        <v>0</v>
      </c>
      <c r="H202" s="90"/>
      <c r="I202" s="90"/>
      <c r="J202" s="109"/>
    </row>
    <row r="203" spans="6:10" ht="15">
      <c r="F203" s="232">
        <f>+F201+'[3]Export2'!$I$207</f>
        <v>0</v>
      </c>
      <c r="J203" s="109"/>
    </row>
    <row r="204" spans="7:10" ht="15">
      <c r="G204" s="110"/>
      <c r="J204" s="109"/>
    </row>
    <row r="205" ht="15">
      <c r="J205" s="109"/>
    </row>
    <row r="206" ht="15">
      <c r="J206" s="109"/>
    </row>
    <row r="207" ht="15">
      <c r="J207" s="109"/>
    </row>
    <row r="208" ht="15">
      <c r="J208" s="109"/>
    </row>
    <row r="209" ht="15">
      <c r="J209" s="109"/>
    </row>
    <row r="210" ht="15">
      <c r="J210" s="109"/>
    </row>
    <row r="211" ht="15">
      <c r="J211" s="109"/>
    </row>
  </sheetData>
  <sheetProtection/>
  <mergeCells count="3">
    <mergeCell ref="B1:L1"/>
    <mergeCell ref="B2:L2"/>
    <mergeCell ref="B3:L3"/>
  </mergeCells>
  <hyperlinks>
    <hyperlink ref="A87" r:id="rId1" display="&amp;^%$#@*"/>
    <hyperlink ref="A90" r:id="rId2" display="&amp;^%$#@*"/>
    <hyperlink ref="B93" r:id="rId3" display="&amp;^%$#@*"/>
  </hyperlinks>
  <printOptions/>
  <pageMargins left="0.7086614173228347" right="0.7086614173228347" top="0.7480314960629921" bottom="0.7480314960629921" header="0.31496062992125984" footer="0.31496062992125984"/>
  <pageSetup horizontalDpi="600" verticalDpi="600" orientation="portrait" scale="78" r:id="rId5"/>
  <headerFooter>
    <oddFooter>&amp;C&amp;A&amp;RPágina &amp;P</oddFooter>
  </headerFooter>
  <rowBreaks count="4" manualBreakCount="4">
    <brk id="52" max="255" man="1"/>
    <brk id="105" max="255" man="1"/>
    <brk id="148" max="255" man="1"/>
    <brk id="201" max="255" man="1"/>
  </rowBreaks>
  <ignoredErrors>
    <ignoredError sqref="G22" formulaRange="1"/>
    <ignoredError sqref="G189" formula="1"/>
  </ignoredErrors>
  <drawing r:id="rId4"/>
</worksheet>
</file>

<file path=xl/worksheets/sheet12.xml><?xml version="1.0" encoding="utf-8"?>
<worksheet xmlns="http://schemas.openxmlformats.org/spreadsheetml/2006/main" xmlns:r="http://schemas.openxmlformats.org/officeDocument/2006/relationships">
  <dimension ref="A1:R74"/>
  <sheetViews>
    <sheetView zoomScalePageLayoutView="0" workbookViewId="0" topLeftCell="B1">
      <selection activeCell="D17" sqref="D17"/>
    </sheetView>
  </sheetViews>
  <sheetFormatPr defaultColWidth="11.421875" defaultRowHeight="15"/>
  <cols>
    <col min="1" max="1" width="17.421875" style="4" hidden="1" customWidth="1"/>
    <col min="2" max="2" width="21.421875" style="4" bestFit="1" customWidth="1"/>
    <col min="3" max="3" width="22.140625" style="4" bestFit="1" customWidth="1"/>
    <col min="4" max="4" width="53.140625" style="4" customWidth="1"/>
    <col min="5" max="5" width="38.00390625" style="4" hidden="1" customWidth="1"/>
    <col min="6" max="6" width="36.421875" style="4" customWidth="1"/>
    <col min="7" max="7" width="28.57421875" style="4" hidden="1" customWidth="1"/>
    <col min="8" max="8" width="24.00390625" style="4" hidden="1" customWidth="1"/>
    <col min="9" max="9" width="22.140625" style="4" hidden="1" customWidth="1"/>
    <col min="10" max="10" width="26.57421875" style="4" customWidth="1"/>
    <col min="11" max="11" width="0" style="4" hidden="1" customWidth="1"/>
    <col min="12" max="16384" width="11.421875" style="4" customWidth="1"/>
  </cols>
  <sheetData>
    <row r="1" ht="15.75">
      <c r="D1" s="404" t="s">
        <v>865</v>
      </c>
    </row>
    <row r="2" ht="15.75">
      <c r="D2" s="404" t="s">
        <v>938</v>
      </c>
    </row>
    <row r="3" ht="15.75">
      <c r="D3" s="404"/>
    </row>
    <row r="4" spans="1:4" ht="26.25">
      <c r="A4" s="405"/>
      <c r="D4" s="404"/>
    </row>
    <row r="5" spans="1:11" ht="15">
      <c r="A5" s="337"/>
      <c r="B5" s="337" t="s">
        <v>866</v>
      </c>
      <c r="C5" s="337" t="s">
        <v>867</v>
      </c>
      <c r="D5" s="337" t="s">
        <v>868</v>
      </c>
      <c r="E5" s="337" t="s">
        <v>869</v>
      </c>
      <c r="F5" s="406" t="s">
        <v>870</v>
      </c>
      <c r="G5" s="406" t="s">
        <v>871</v>
      </c>
      <c r="H5" s="406" t="s">
        <v>872</v>
      </c>
      <c r="I5" s="406" t="s">
        <v>873</v>
      </c>
      <c r="J5" s="406" t="s">
        <v>874</v>
      </c>
      <c r="K5" s="407"/>
    </row>
    <row r="6" spans="1:11" ht="30">
      <c r="A6" s="334"/>
      <c r="B6" s="528">
        <v>42298</v>
      </c>
      <c r="C6" s="524" t="s">
        <v>1003</v>
      </c>
      <c r="D6" s="524" t="s">
        <v>1004</v>
      </c>
      <c r="E6" s="524" t="s">
        <v>1005</v>
      </c>
      <c r="F6" s="530">
        <v>217362.39000000013</v>
      </c>
      <c r="G6" s="541" t="s">
        <v>1006</v>
      </c>
      <c r="H6" s="409"/>
      <c r="I6" s="409"/>
      <c r="J6" s="541" t="s">
        <v>1006</v>
      </c>
      <c r="K6" s="334"/>
    </row>
    <row r="7" spans="1:18" ht="15">
      <c r="A7" s="334"/>
      <c r="B7" s="542" t="s">
        <v>1007</v>
      </c>
      <c r="C7" s="524" t="s">
        <v>1008</v>
      </c>
      <c r="D7" s="524" t="s">
        <v>1009</v>
      </c>
      <c r="E7" s="524"/>
      <c r="F7" s="530">
        <v>57380</v>
      </c>
      <c r="G7" s="524"/>
      <c r="H7" s="409"/>
      <c r="I7" s="409"/>
      <c r="J7" s="409"/>
      <c r="K7" s="409"/>
      <c r="L7" s="412"/>
      <c r="M7" s="412"/>
      <c r="N7" s="412"/>
      <c r="O7" s="412"/>
      <c r="P7" s="412"/>
      <c r="Q7" s="412"/>
      <c r="R7" s="412"/>
    </row>
    <row r="8" spans="1:11" ht="15">
      <c r="A8" s="334"/>
      <c r="B8" s="528">
        <v>44562</v>
      </c>
      <c r="C8" s="524" t="s">
        <v>1010</v>
      </c>
      <c r="D8" s="524" t="s">
        <v>1011</v>
      </c>
      <c r="E8" s="524"/>
      <c r="F8" s="525">
        <v>59480</v>
      </c>
      <c r="G8" s="524"/>
      <c r="H8" s="409"/>
      <c r="I8" s="409"/>
      <c r="J8" s="410"/>
      <c r="K8" s="334"/>
    </row>
    <row r="9" spans="1:11" ht="15">
      <c r="A9" s="334"/>
      <c r="B9" s="528">
        <v>44655</v>
      </c>
      <c r="C9" s="524" t="s">
        <v>1012</v>
      </c>
      <c r="D9" s="524" t="s">
        <v>1013</v>
      </c>
      <c r="E9" s="524"/>
      <c r="F9" s="531">
        <v>30128</v>
      </c>
      <c r="G9" s="524"/>
      <c r="H9" s="335"/>
      <c r="I9" s="334"/>
      <c r="J9" s="334"/>
      <c r="K9" s="8"/>
    </row>
    <row r="10" spans="1:10" ht="15">
      <c r="A10" s="334"/>
      <c r="B10" s="528">
        <v>44701</v>
      </c>
      <c r="C10" s="524" t="s">
        <v>1014</v>
      </c>
      <c r="D10" s="524" t="s">
        <v>1015</v>
      </c>
      <c r="E10" s="524" t="s">
        <v>1016</v>
      </c>
      <c r="F10" s="531">
        <v>44160.36</v>
      </c>
      <c r="G10" s="524"/>
      <c r="H10" s="335"/>
      <c r="I10" s="334"/>
      <c r="J10" s="334"/>
    </row>
    <row r="11" spans="1:10" ht="15">
      <c r="A11" s="334"/>
      <c r="B11" s="528">
        <v>44714</v>
      </c>
      <c r="C11" s="524" t="s">
        <v>1017</v>
      </c>
      <c r="D11" s="524" t="s">
        <v>1018</v>
      </c>
      <c r="E11" s="524"/>
      <c r="F11" s="531">
        <v>53800</v>
      </c>
      <c r="G11" s="524"/>
      <c r="H11" s="335"/>
      <c r="I11" s="334"/>
      <c r="J11" s="334"/>
    </row>
    <row r="12" spans="1:10" ht="15">
      <c r="A12" s="334"/>
      <c r="B12" s="528">
        <v>44739</v>
      </c>
      <c r="C12" s="524" t="s">
        <v>1019</v>
      </c>
      <c r="D12" s="524" t="s">
        <v>1020</v>
      </c>
      <c r="E12" s="537"/>
      <c r="F12" s="524">
        <v>0.01</v>
      </c>
      <c r="G12" s="524"/>
      <c r="H12" s="335"/>
      <c r="I12" s="334"/>
      <c r="J12" s="334"/>
    </row>
    <row r="13" spans="1:10" ht="15">
      <c r="A13" s="334"/>
      <c r="B13" s="528">
        <v>44819</v>
      </c>
      <c r="C13" s="524" t="s">
        <v>1021</v>
      </c>
      <c r="D13" s="524" t="s">
        <v>1022</v>
      </c>
      <c r="E13" s="524"/>
      <c r="F13" s="525">
        <v>-0.5</v>
      </c>
      <c r="G13" s="524"/>
      <c r="H13" s="335"/>
      <c r="I13" s="334"/>
      <c r="J13" s="334"/>
    </row>
    <row r="14" spans="1:10" ht="15">
      <c r="A14" s="334"/>
      <c r="B14" s="528">
        <v>44838</v>
      </c>
      <c r="C14" s="524" t="s">
        <v>1023</v>
      </c>
      <c r="D14" s="524" t="s">
        <v>1024</v>
      </c>
      <c r="E14" s="524"/>
      <c r="F14" s="531">
        <v>5918</v>
      </c>
      <c r="G14" s="524"/>
      <c r="H14" s="335"/>
      <c r="I14" s="334"/>
      <c r="J14" s="334"/>
    </row>
    <row r="15" spans="1:10" ht="15">
      <c r="A15" s="334"/>
      <c r="B15" s="528">
        <v>44839</v>
      </c>
      <c r="C15" s="524" t="s">
        <v>1025</v>
      </c>
      <c r="D15" s="524" t="s">
        <v>1018</v>
      </c>
      <c r="E15" s="524"/>
      <c r="F15" s="531">
        <v>43040</v>
      </c>
      <c r="G15" s="524"/>
      <c r="H15" s="335"/>
      <c r="I15" s="334"/>
      <c r="J15" s="334"/>
    </row>
    <row r="16" spans="1:10" ht="15">
      <c r="A16" s="334"/>
      <c r="B16" s="528">
        <v>44862</v>
      </c>
      <c r="C16" s="524" t="s">
        <v>1026</v>
      </c>
      <c r="D16" s="524" t="s">
        <v>1027</v>
      </c>
      <c r="E16" s="524"/>
      <c r="F16" s="524">
        <v>0.12</v>
      </c>
      <c r="G16" s="524"/>
      <c r="H16" s="335"/>
      <c r="I16" s="334"/>
      <c r="J16" s="334"/>
    </row>
    <row r="17" spans="1:10" ht="15">
      <c r="A17" s="334"/>
      <c r="B17" s="528">
        <v>44889</v>
      </c>
      <c r="C17" s="524" t="s">
        <v>1028</v>
      </c>
      <c r="D17" s="524" t="s">
        <v>1029</v>
      </c>
      <c r="E17" s="524"/>
      <c r="F17" s="531">
        <v>77224.52</v>
      </c>
      <c r="G17" s="524"/>
      <c r="H17" s="335"/>
      <c r="I17" s="334"/>
      <c r="J17" s="334"/>
    </row>
    <row r="18" spans="1:10" ht="15">
      <c r="A18" s="334"/>
      <c r="B18" s="528">
        <v>44895</v>
      </c>
      <c r="C18" s="524" t="s">
        <v>1030</v>
      </c>
      <c r="D18" s="524" t="s">
        <v>1031</v>
      </c>
      <c r="E18" s="524"/>
      <c r="F18" s="531">
        <v>33052.5</v>
      </c>
      <c r="G18" s="524"/>
      <c r="H18" s="335"/>
      <c r="I18" s="334"/>
      <c r="J18" s="334"/>
    </row>
    <row r="19" spans="1:10" ht="15">
      <c r="A19" s="334"/>
      <c r="B19" s="528">
        <v>44876</v>
      </c>
      <c r="C19" s="524" t="s">
        <v>1032</v>
      </c>
      <c r="D19" s="524" t="s">
        <v>1022</v>
      </c>
      <c r="E19" s="524"/>
      <c r="F19" s="531">
        <v>109309.42</v>
      </c>
      <c r="G19" s="524"/>
      <c r="H19" s="335"/>
      <c r="I19" s="334"/>
      <c r="J19" s="334"/>
    </row>
    <row r="20" spans="1:10" ht="15">
      <c r="A20" s="334"/>
      <c r="B20" s="528">
        <v>44876</v>
      </c>
      <c r="C20" s="524" t="s">
        <v>1032</v>
      </c>
      <c r="D20" s="524" t="s">
        <v>1022</v>
      </c>
      <c r="E20" s="524"/>
      <c r="F20" s="531">
        <v>39969.23</v>
      </c>
      <c r="G20" s="524"/>
      <c r="H20" s="335"/>
      <c r="I20" s="334"/>
      <c r="J20" s="334"/>
    </row>
    <row r="21" spans="1:10" ht="15">
      <c r="A21" s="334"/>
      <c r="B21" s="532">
        <v>44872</v>
      </c>
      <c r="C21" s="524" t="s">
        <v>1033</v>
      </c>
      <c r="D21" s="529" t="s">
        <v>1034</v>
      </c>
      <c r="E21" s="529"/>
      <c r="F21" s="533">
        <v>36103.5</v>
      </c>
      <c r="G21" s="529"/>
      <c r="H21" s="335"/>
      <c r="I21" s="334"/>
      <c r="J21" s="334"/>
    </row>
    <row r="22" spans="1:10" ht="15">
      <c r="A22" s="334"/>
      <c r="B22" s="528">
        <v>44893</v>
      </c>
      <c r="C22" s="524" t="s">
        <v>1035</v>
      </c>
      <c r="D22" s="524" t="s">
        <v>1036</v>
      </c>
      <c r="E22" s="524"/>
      <c r="F22" s="531">
        <v>406800</v>
      </c>
      <c r="G22" s="524"/>
      <c r="H22" s="335"/>
      <c r="I22" s="334"/>
      <c r="J22" s="334"/>
    </row>
    <row r="23" spans="1:10" ht="15">
      <c r="A23" s="334"/>
      <c r="B23" s="528">
        <v>44871</v>
      </c>
      <c r="C23" s="524" t="s">
        <v>1037</v>
      </c>
      <c r="D23" s="524" t="s">
        <v>1038</v>
      </c>
      <c r="E23" s="524"/>
      <c r="F23" s="531">
        <v>47500</v>
      </c>
      <c r="G23" s="524"/>
      <c r="H23" s="335"/>
      <c r="I23" s="334"/>
      <c r="J23" s="334"/>
    </row>
    <row r="24" spans="1:10" ht="15">
      <c r="A24" s="334"/>
      <c r="B24" s="528">
        <v>44890</v>
      </c>
      <c r="C24" s="524" t="s">
        <v>1039</v>
      </c>
      <c r="D24" s="524" t="s">
        <v>1040</v>
      </c>
      <c r="E24" s="524"/>
      <c r="F24" s="531">
        <v>11877.6</v>
      </c>
      <c r="G24" s="524"/>
      <c r="H24" s="335"/>
      <c r="I24" s="334"/>
      <c r="J24" s="334"/>
    </row>
    <row r="25" spans="1:10" ht="15">
      <c r="A25" s="334"/>
      <c r="B25" s="528">
        <v>44890</v>
      </c>
      <c r="C25" s="524" t="s">
        <v>1041</v>
      </c>
      <c r="D25" s="524" t="s">
        <v>1042</v>
      </c>
      <c r="E25" s="524"/>
      <c r="F25" s="531">
        <v>6967</v>
      </c>
      <c r="G25" s="524"/>
      <c r="H25" s="335"/>
      <c r="I25" s="334"/>
      <c r="J25" s="334"/>
    </row>
    <row r="26" spans="1:10" ht="15">
      <c r="A26" s="334"/>
      <c r="B26" s="532">
        <v>44873</v>
      </c>
      <c r="C26" s="524" t="s">
        <v>1043</v>
      </c>
      <c r="D26" s="529" t="s">
        <v>1044</v>
      </c>
      <c r="E26" s="529"/>
      <c r="F26" s="533">
        <v>44.98</v>
      </c>
      <c r="G26" s="529"/>
      <c r="H26" s="335"/>
      <c r="I26" s="334"/>
      <c r="J26" s="334"/>
    </row>
    <row r="27" spans="1:10" ht="15">
      <c r="A27" s="334"/>
      <c r="B27" s="528">
        <v>44901</v>
      </c>
      <c r="C27" s="524" t="s">
        <v>1045</v>
      </c>
      <c r="D27" s="524" t="s">
        <v>1029</v>
      </c>
      <c r="E27" s="524"/>
      <c r="F27" s="531">
        <v>44126.5</v>
      </c>
      <c r="G27" s="524"/>
      <c r="H27" s="334"/>
      <c r="I27" s="334"/>
      <c r="J27" s="334"/>
    </row>
    <row r="28" spans="1:10" ht="15">
      <c r="A28" s="334"/>
      <c r="B28" s="528">
        <v>44896</v>
      </c>
      <c r="C28" s="524" t="s">
        <v>1046</v>
      </c>
      <c r="D28" s="524" t="s">
        <v>1047</v>
      </c>
      <c r="E28" s="524"/>
      <c r="F28" s="531">
        <v>1711.66</v>
      </c>
      <c r="G28" s="524"/>
      <c r="H28" s="334"/>
      <c r="I28" s="334"/>
      <c r="J28" s="334"/>
    </row>
    <row r="29" spans="1:10" ht="15">
      <c r="A29" s="334"/>
      <c r="B29" s="528">
        <v>44896</v>
      </c>
      <c r="C29" s="524" t="s">
        <v>1048</v>
      </c>
      <c r="D29" s="524" t="s">
        <v>1047</v>
      </c>
      <c r="E29" s="524"/>
      <c r="F29" s="531">
        <v>1078.02</v>
      </c>
      <c r="G29" s="524"/>
      <c r="H29" s="334"/>
      <c r="I29" s="334"/>
      <c r="J29" s="334"/>
    </row>
    <row r="30" spans="1:10" ht="15">
      <c r="A30" s="334"/>
      <c r="B30" s="528">
        <v>44900</v>
      </c>
      <c r="C30" s="524" t="s">
        <v>1049</v>
      </c>
      <c r="D30" s="524" t="s">
        <v>1047</v>
      </c>
      <c r="E30" s="524"/>
      <c r="F30" s="531">
        <v>1135.04</v>
      </c>
      <c r="G30" s="524"/>
      <c r="H30" s="334"/>
      <c r="I30" s="334"/>
      <c r="J30" s="334"/>
    </row>
    <row r="31" spans="1:10" ht="15">
      <c r="A31" s="334"/>
      <c r="B31" s="528">
        <v>44901</v>
      </c>
      <c r="C31" s="524" t="s">
        <v>1050</v>
      </c>
      <c r="D31" s="524" t="s">
        <v>1051</v>
      </c>
      <c r="E31" s="524"/>
      <c r="F31" s="531">
        <v>5581.25</v>
      </c>
      <c r="G31" s="524"/>
      <c r="H31" s="334"/>
      <c r="I31" s="334"/>
      <c r="J31" s="334"/>
    </row>
    <row r="32" spans="1:10" ht="15">
      <c r="A32" s="334"/>
      <c r="B32" s="528">
        <v>44910</v>
      </c>
      <c r="C32" s="524" t="s">
        <v>1052</v>
      </c>
      <c r="D32" s="524" t="s">
        <v>1053</v>
      </c>
      <c r="E32" s="524"/>
      <c r="F32" s="531">
        <v>10607.44</v>
      </c>
      <c r="G32" s="524"/>
      <c r="H32" s="334"/>
      <c r="I32" s="334"/>
      <c r="J32" s="334"/>
    </row>
    <row r="33" spans="1:10" ht="15">
      <c r="A33" s="334"/>
      <c r="B33" s="528">
        <v>44896</v>
      </c>
      <c r="C33" s="524" t="s">
        <v>1054</v>
      </c>
      <c r="D33" s="524" t="s">
        <v>1055</v>
      </c>
      <c r="E33" s="524"/>
      <c r="F33" s="531">
        <v>70490.57</v>
      </c>
      <c r="G33" s="524"/>
      <c r="H33" s="334"/>
      <c r="I33" s="334"/>
      <c r="J33" s="334"/>
    </row>
    <row r="34" spans="1:10" ht="15">
      <c r="A34" s="334"/>
      <c r="B34" s="528">
        <v>44908</v>
      </c>
      <c r="C34" s="524" t="s">
        <v>1056</v>
      </c>
      <c r="D34" s="524" t="s">
        <v>1057</v>
      </c>
      <c r="E34" s="524"/>
      <c r="F34" s="531">
        <v>74345.37</v>
      </c>
      <c r="G34" s="524"/>
      <c r="H34" s="334"/>
      <c r="I34" s="334"/>
      <c r="J34" s="334"/>
    </row>
    <row r="35" spans="1:10" s="172" customFormat="1" ht="15">
      <c r="A35" s="408"/>
      <c r="B35" s="528">
        <v>44896</v>
      </c>
      <c r="C35" s="524" t="s">
        <v>1058</v>
      </c>
      <c r="D35" s="524" t="s">
        <v>1059</v>
      </c>
      <c r="E35" s="524"/>
      <c r="F35" s="531">
        <v>26125.28</v>
      </c>
      <c r="G35" s="524"/>
      <c r="H35" s="415"/>
      <c r="I35" s="408"/>
      <c r="J35" s="408"/>
    </row>
    <row r="36" spans="1:10" s="172" customFormat="1" ht="15">
      <c r="A36" s="408"/>
      <c r="B36" s="528">
        <v>44904</v>
      </c>
      <c r="C36" s="524" t="s">
        <v>1060</v>
      </c>
      <c r="D36" s="524" t="s">
        <v>1059</v>
      </c>
      <c r="E36" s="524"/>
      <c r="F36" s="531">
        <v>40414.56</v>
      </c>
      <c r="G36" s="524"/>
      <c r="H36" s="415"/>
      <c r="I36" s="408"/>
      <c r="J36" s="408"/>
    </row>
    <row r="37" spans="1:10" s="172" customFormat="1" ht="15">
      <c r="A37" s="408"/>
      <c r="B37" s="528">
        <v>44910</v>
      </c>
      <c r="C37" s="524" t="s">
        <v>1061</v>
      </c>
      <c r="D37" s="524" t="s">
        <v>1059</v>
      </c>
      <c r="E37" s="524"/>
      <c r="F37" s="531">
        <v>16301.4</v>
      </c>
      <c r="G37" s="524"/>
      <c r="H37" s="415"/>
      <c r="I37" s="408"/>
      <c r="J37" s="408"/>
    </row>
    <row r="38" spans="1:10" s="172" customFormat="1" ht="15">
      <c r="A38" s="408"/>
      <c r="B38" s="528">
        <v>44896</v>
      </c>
      <c r="C38" s="524" t="s">
        <v>1062</v>
      </c>
      <c r="D38" s="524" t="s">
        <v>1063</v>
      </c>
      <c r="E38" s="524"/>
      <c r="F38" s="531">
        <v>477345.95</v>
      </c>
      <c r="G38" s="524"/>
      <c r="H38" s="415"/>
      <c r="I38" s="408"/>
      <c r="J38" s="408"/>
    </row>
    <row r="39" spans="1:10" s="515" customFormat="1" ht="15">
      <c r="A39" s="529"/>
      <c r="B39" s="528">
        <v>44903</v>
      </c>
      <c r="C39" s="524" t="s">
        <v>1064</v>
      </c>
      <c r="D39" s="524" t="s">
        <v>1065</v>
      </c>
      <c r="E39" s="524"/>
      <c r="F39" s="531">
        <v>49323.84</v>
      </c>
      <c r="G39" s="524"/>
      <c r="H39" s="533"/>
      <c r="I39" s="529"/>
      <c r="J39" s="529"/>
    </row>
    <row r="40" spans="1:10" s="515" customFormat="1" ht="15">
      <c r="A40" s="529"/>
      <c r="B40" s="528">
        <v>44904</v>
      </c>
      <c r="C40" s="524" t="s">
        <v>1066</v>
      </c>
      <c r="D40" s="524" t="s">
        <v>1067</v>
      </c>
      <c r="E40" s="524"/>
      <c r="F40" s="531">
        <v>19153.5</v>
      </c>
      <c r="G40" s="524"/>
      <c r="H40" s="533"/>
      <c r="I40" s="529"/>
      <c r="J40" s="529"/>
    </row>
    <row r="41" spans="1:10" s="515" customFormat="1" ht="15">
      <c r="A41" s="529"/>
      <c r="B41" s="528">
        <v>44904</v>
      </c>
      <c r="C41" s="524" t="s">
        <v>1068</v>
      </c>
      <c r="D41" s="524" t="s">
        <v>1067</v>
      </c>
      <c r="E41" s="524"/>
      <c r="F41" s="531">
        <v>90428.25</v>
      </c>
      <c r="G41" s="524"/>
      <c r="H41" s="533"/>
      <c r="I41" s="529"/>
      <c r="J41" s="529"/>
    </row>
    <row r="42" spans="1:10" s="515" customFormat="1" ht="15">
      <c r="A42" s="529"/>
      <c r="B42" s="528">
        <v>44909</v>
      </c>
      <c r="C42" s="524" t="s">
        <v>1069</v>
      </c>
      <c r="D42" s="524" t="s">
        <v>1067</v>
      </c>
      <c r="E42" s="524"/>
      <c r="F42" s="531">
        <v>41426</v>
      </c>
      <c r="G42" s="524"/>
      <c r="H42" s="533"/>
      <c r="I42" s="529"/>
      <c r="J42" s="529"/>
    </row>
    <row r="43" spans="1:10" s="515" customFormat="1" ht="15">
      <c r="A43" s="529"/>
      <c r="B43" s="528">
        <v>44917</v>
      </c>
      <c r="C43" s="524" t="s">
        <v>1070</v>
      </c>
      <c r="D43" s="524" t="s">
        <v>1071</v>
      </c>
      <c r="E43" s="524"/>
      <c r="F43" s="531">
        <v>86627.12</v>
      </c>
      <c r="G43" s="524"/>
      <c r="H43" s="533"/>
      <c r="I43" s="529"/>
      <c r="J43" s="529"/>
    </row>
    <row r="44" spans="1:10" s="515" customFormat="1" ht="15">
      <c r="A44" s="529"/>
      <c r="B44" s="528">
        <v>44896</v>
      </c>
      <c r="C44" s="524" t="s">
        <v>1064</v>
      </c>
      <c r="D44" s="524" t="s">
        <v>1072</v>
      </c>
      <c r="E44" s="524"/>
      <c r="F44" s="531">
        <v>53800</v>
      </c>
      <c r="G44" s="524"/>
      <c r="H44" s="533"/>
      <c r="I44" s="529"/>
      <c r="J44" s="529"/>
    </row>
    <row r="45" spans="1:10" s="515" customFormat="1" ht="15">
      <c r="A45" s="529"/>
      <c r="B45" s="528">
        <v>44908</v>
      </c>
      <c r="C45" s="524" t="s">
        <v>1073</v>
      </c>
      <c r="D45" s="524" t="s">
        <v>1072</v>
      </c>
      <c r="E45" s="524"/>
      <c r="F45" s="531">
        <v>53800</v>
      </c>
      <c r="G45" s="524"/>
      <c r="H45" s="533"/>
      <c r="I45" s="529"/>
      <c r="J45" s="529"/>
    </row>
    <row r="46" spans="1:10" s="515" customFormat="1" ht="15">
      <c r="A46" s="529"/>
      <c r="B46" s="528">
        <v>44907</v>
      </c>
      <c r="C46" s="524" t="s">
        <v>1030</v>
      </c>
      <c r="D46" s="524" t="s">
        <v>1031</v>
      </c>
      <c r="E46" s="524"/>
      <c r="F46" s="531">
        <v>163341.5</v>
      </c>
      <c r="G46" s="524"/>
      <c r="H46" s="533"/>
      <c r="I46" s="529"/>
      <c r="J46" s="529"/>
    </row>
    <row r="47" spans="1:10" s="515" customFormat="1" ht="15">
      <c r="A47" s="529"/>
      <c r="B47" s="528">
        <v>44911</v>
      </c>
      <c r="C47" s="524" t="s">
        <v>1074</v>
      </c>
      <c r="D47" s="524" t="s">
        <v>1075</v>
      </c>
      <c r="E47" s="524"/>
      <c r="F47" s="531">
        <v>661976.72</v>
      </c>
      <c r="G47" s="524"/>
      <c r="H47" s="533"/>
      <c r="I47" s="529"/>
      <c r="J47" s="529"/>
    </row>
    <row r="48" spans="1:10" s="515" customFormat="1" ht="15">
      <c r="A48" s="529"/>
      <c r="B48" s="528">
        <v>44901</v>
      </c>
      <c r="C48" s="524" t="s">
        <v>1076</v>
      </c>
      <c r="D48" s="524" t="s">
        <v>1077</v>
      </c>
      <c r="E48" s="524"/>
      <c r="F48" s="531">
        <v>72757.64</v>
      </c>
      <c r="G48" s="524"/>
      <c r="H48" s="533"/>
      <c r="I48" s="529"/>
      <c r="J48" s="529"/>
    </row>
    <row r="49" spans="1:10" s="515" customFormat="1" ht="15">
      <c r="A49" s="529"/>
      <c r="B49" s="528">
        <v>44915</v>
      </c>
      <c r="C49" s="524" t="s">
        <v>1078</v>
      </c>
      <c r="D49" s="524" t="s">
        <v>1079</v>
      </c>
      <c r="E49" s="524"/>
      <c r="F49" s="531">
        <v>607137.45</v>
      </c>
      <c r="G49" s="524"/>
      <c r="H49" s="533"/>
      <c r="I49" s="529"/>
      <c r="J49" s="529"/>
    </row>
    <row r="50" spans="1:10" s="515" customFormat="1" ht="15">
      <c r="A50" s="529"/>
      <c r="B50" s="528">
        <v>44910</v>
      </c>
      <c r="C50" s="524" t="s">
        <v>1080</v>
      </c>
      <c r="D50" s="524" t="s">
        <v>1081</v>
      </c>
      <c r="E50" s="524"/>
      <c r="F50" s="531">
        <v>47500</v>
      </c>
      <c r="G50" s="524"/>
      <c r="H50" s="533"/>
      <c r="I50" s="529"/>
      <c r="J50" s="529"/>
    </row>
    <row r="51" spans="1:10" s="515" customFormat="1" ht="15">
      <c r="A51" s="529"/>
      <c r="B51" s="528">
        <v>44910</v>
      </c>
      <c r="C51" s="524" t="s">
        <v>1082</v>
      </c>
      <c r="D51" s="524" t="s">
        <v>1083</v>
      </c>
      <c r="E51" s="524"/>
      <c r="F51" s="531">
        <v>46963.26</v>
      </c>
      <c r="G51" s="524"/>
      <c r="H51" s="533"/>
      <c r="I51" s="529"/>
      <c r="J51" s="529"/>
    </row>
    <row r="52" spans="1:10" s="515" customFormat="1" ht="15">
      <c r="A52" s="529"/>
      <c r="B52" s="528">
        <v>44917</v>
      </c>
      <c r="C52" s="524" t="s">
        <v>1084</v>
      </c>
      <c r="D52" s="524" t="s">
        <v>1085</v>
      </c>
      <c r="E52" s="524"/>
      <c r="F52" s="531">
        <v>47500</v>
      </c>
      <c r="G52" s="524"/>
      <c r="H52" s="533"/>
      <c r="I52" s="529"/>
      <c r="J52" s="529"/>
    </row>
    <row r="53" spans="1:10" s="515" customFormat="1" ht="15">
      <c r="A53" s="529"/>
      <c r="B53" s="528">
        <v>44896</v>
      </c>
      <c r="C53" s="524" t="s">
        <v>1086</v>
      </c>
      <c r="D53" s="524" t="s">
        <v>1038</v>
      </c>
      <c r="E53" s="524"/>
      <c r="F53" s="531">
        <v>551000</v>
      </c>
      <c r="G53" s="524"/>
      <c r="H53" s="533"/>
      <c r="I53" s="529"/>
      <c r="J53" s="529"/>
    </row>
    <row r="54" spans="1:10" s="515" customFormat="1" ht="15">
      <c r="A54" s="529"/>
      <c r="B54" s="528">
        <v>44911</v>
      </c>
      <c r="C54" s="524" t="s">
        <v>1087</v>
      </c>
      <c r="D54" s="524" t="s">
        <v>1088</v>
      </c>
      <c r="E54" s="524"/>
      <c r="F54" s="531">
        <v>27550</v>
      </c>
      <c r="G54" s="524"/>
      <c r="H54" s="533"/>
      <c r="I54" s="529"/>
      <c r="J54" s="529"/>
    </row>
    <row r="55" spans="1:10" s="515" customFormat="1" ht="15">
      <c r="A55" s="529"/>
      <c r="B55" s="528">
        <v>44914</v>
      </c>
      <c r="C55" s="524" t="s">
        <v>1089</v>
      </c>
      <c r="D55" s="524" t="s">
        <v>1090</v>
      </c>
      <c r="E55" s="524"/>
      <c r="F55" s="531">
        <v>273937</v>
      </c>
      <c r="G55" s="524"/>
      <c r="H55" s="533"/>
      <c r="I55" s="529"/>
      <c r="J55" s="529"/>
    </row>
    <row r="56" spans="1:10" s="515" customFormat="1" ht="15">
      <c r="A56" s="529"/>
      <c r="B56" s="528">
        <v>44904</v>
      </c>
      <c r="C56" s="524" t="s">
        <v>1091</v>
      </c>
      <c r="D56" s="524" t="s">
        <v>1092</v>
      </c>
      <c r="E56" s="524"/>
      <c r="F56" s="531">
        <v>67450</v>
      </c>
      <c r="G56" s="524"/>
      <c r="H56" s="533"/>
      <c r="I56" s="529"/>
      <c r="J56" s="529"/>
    </row>
    <row r="57" spans="1:10" s="515" customFormat="1" ht="15">
      <c r="A57" s="529"/>
      <c r="B57" s="528">
        <v>44916</v>
      </c>
      <c r="C57" s="524" t="s">
        <v>1093</v>
      </c>
      <c r="D57" s="524" t="s">
        <v>1094</v>
      </c>
      <c r="E57" s="524"/>
      <c r="F57" s="531">
        <v>43040</v>
      </c>
      <c r="G57" s="524"/>
      <c r="H57" s="533"/>
      <c r="I57" s="529"/>
      <c r="J57" s="529"/>
    </row>
    <row r="58" spans="1:10" ht="15">
      <c r="A58" s="334"/>
      <c r="B58" s="334"/>
      <c r="C58" s="334"/>
      <c r="D58" s="407" t="s">
        <v>304</v>
      </c>
      <c r="E58" s="407" t="s">
        <v>875</v>
      </c>
      <c r="F58" s="414">
        <f>SUM(F6:F57)</f>
        <v>5054092.45</v>
      </c>
      <c r="G58" s="334"/>
      <c r="H58" s="334"/>
      <c r="I58" s="334"/>
      <c r="J58" s="334"/>
    </row>
    <row r="59" spans="1:10" ht="15">
      <c r="A59" s="334"/>
      <c r="B59" s="334"/>
      <c r="C59" s="334"/>
      <c r="D59" s="334"/>
      <c r="E59" s="334"/>
      <c r="F59" s="334"/>
      <c r="G59" s="334"/>
      <c r="H59" s="334"/>
      <c r="I59" s="334"/>
      <c r="J59" s="334"/>
    </row>
    <row r="60" spans="1:10" ht="15">
      <c r="A60" s="334"/>
      <c r="B60" s="334"/>
      <c r="C60" s="334"/>
      <c r="D60" s="334"/>
      <c r="E60" s="407" t="s">
        <v>876</v>
      </c>
      <c r="F60" s="411"/>
      <c r="G60" s="334"/>
      <c r="H60" s="334"/>
      <c r="I60" s="334"/>
      <c r="J60" s="334"/>
    </row>
    <row r="65" ht="15"/>
    <row r="66" ht="15"/>
    <row r="67" spans="2:12" ht="18.75">
      <c r="B67" s="635" t="s">
        <v>879</v>
      </c>
      <c r="C67" s="635"/>
      <c r="D67" s="635"/>
      <c r="E67" s="635"/>
      <c r="F67" s="635"/>
      <c r="G67" s="635"/>
      <c r="H67" s="635"/>
      <c r="I67" s="635"/>
      <c r="J67" s="635"/>
      <c r="K67" s="635"/>
      <c r="L67" s="635"/>
    </row>
    <row r="72" ht="15"/>
    <row r="73" ht="15"/>
    <row r="74" spans="2:6" ht="18.75">
      <c r="B74" s="80" t="s">
        <v>878</v>
      </c>
      <c r="F74" s="80" t="s">
        <v>877</v>
      </c>
    </row>
  </sheetData>
  <sheetProtection/>
  <mergeCells count="1">
    <mergeCell ref="B67:L67"/>
  </mergeCells>
  <printOptions/>
  <pageMargins left="0.7" right="0.7" top="0.75" bottom="0.75" header="0.3" footer="0.3"/>
  <pageSetup horizontalDpi="600" verticalDpi="600" orientation="portrait" scale="52" r:id="rId2"/>
  <drawing r:id="rId1"/>
</worksheet>
</file>

<file path=xl/worksheets/sheet2.xml><?xml version="1.0" encoding="utf-8"?>
<worksheet xmlns="http://schemas.openxmlformats.org/spreadsheetml/2006/main" xmlns:r="http://schemas.openxmlformats.org/officeDocument/2006/relationships">
  <dimension ref="A1:N49"/>
  <sheetViews>
    <sheetView zoomScalePageLayoutView="0" workbookViewId="0" topLeftCell="A1">
      <selection activeCell="B34" sqref="B34"/>
    </sheetView>
  </sheetViews>
  <sheetFormatPr defaultColWidth="11.421875" defaultRowHeight="15"/>
  <cols>
    <col min="1" max="1" width="8.140625" style="235" customWidth="1"/>
    <col min="2" max="2" width="50.00390625" style="235" customWidth="1"/>
    <col min="3" max="4" width="1.7109375" style="235" customWidth="1"/>
    <col min="5" max="5" width="13.7109375" style="235" customWidth="1"/>
    <col min="6" max="6" width="24.00390625" style="235" customWidth="1"/>
    <col min="7" max="7" width="5.57421875" style="235" hidden="1" customWidth="1"/>
    <col min="8" max="8" width="4.7109375" style="235" customWidth="1"/>
    <col min="9" max="9" width="3.7109375" style="235" customWidth="1"/>
    <col min="10" max="10" width="19.8515625" style="235" customWidth="1"/>
    <col min="11" max="11" width="14.8515625" style="235" hidden="1" customWidth="1"/>
    <col min="12" max="13" width="11.421875" style="235" customWidth="1"/>
    <col min="14" max="16384" width="11.421875" style="236" customWidth="1"/>
  </cols>
  <sheetData>
    <row r="1" spans="1:8" ht="15.75">
      <c r="A1" s="604" t="str">
        <f>+'[4]ESF - Situación Financiera'!A1</f>
        <v>OFICINA NACIONAL DE LA PROPIEDAD INDUSTRIAL(ONAPI)</v>
      </c>
      <c r="B1" s="604"/>
      <c r="C1" s="604"/>
      <c r="D1" s="604"/>
      <c r="E1" s="604"/>
      <c r="F1" s="604"/>
      <c r="G1" s="604"/>
      <c r="H1" s="604"/>
    </row>
    <row r="2" spans="1:8" ht="15.75">
      <c r="A2" s="604" t="s">
        <v>743</v>
      </c>
      <c r="B2" s="604"/>
      <c r="C2" s="604"/>
      <c r="D2" s="604"/>
      <c r="E2" s="604"/>
      <c r="F2" s="604"/>
      <c r="G2" s="604"/>
      <c r="H2" s="604"/>
    </row>
    <row r="3" spans="1:8" ht="15.75">
      <c r="A3" s="604" t="s">
        <v>912</v>
      </c>
      <c r="B3" s="604"/>
      <c r="C3" s="604"/>
      <c r="D3" s="604"/>
      <c r="E3" s="604"/>
      <c r="F3" s="604"/>
      <c r="G3" s="604"/>
      <c r="H3" s="604"/>
    </row>
    <row r="4" spans="1:8" ht="15.75">
      <c r="A4" s="604" t="s">
        <v>710</v>
      </c>
      <c r="B4" s="604"/>
      <c r="C4" s="604"/>
      <c r="D4" s="604"/>
      <c r="E4" s="604"/>
      <c r="F4" s="604"/>
      <c r="G4" s="604"/>
      <c r="H4" s="604"/>
    </row>
    <row r="5" spans="1:8" ht="15.75">
      <c r="A5" s="386"/>
      <c r="B5" s="386"/>
      <c r="C5" s="386"/>
      <c r="D5" s="386"/>
      <c r="E5" s="416"/>
      <c r="F5" s="386"/>
      <c r="G5" s="386"/>
      <c r="H5" s="386"/>
    </row>
    <row r="6" spans="1:8" ht="15.75">
      <c r="A6" s="386"/>
      <c r="B6" s="386"/>
      <c r="C6" s="386"/>
      <c r="D6" s="386"/>
      <c r="E6" s="416"/>
      <c r="F6" s="386"/>
      <c r="G6" s="386"/>
      <c r="H6" s="386"/>
    </row>
    <row r="7" spans="1:8" ht="15">
      <c r="A7" s="355"/>
      <c r="B7" s="356"/>
      <c r="C7" s="356"/>
      <c r="D7" s="356"/>
      <c r="E7" s="356"/>
      <c r="F7" s="356"/>
      <c r="G7" s="355"/>
      <c r="H7" s="355"/>
    </row>
    <row r="8" spans="1:8" ht="15">
      <c r="A8" s="355"/>
      <c r="B8" s="355"/>
      <c r="C8" s="355"/>
      <c r="D8" s="355"/>
      <c r="E8" s="357">
        <v>2022</v>
      </c>
      <c r="F8" s="357">
        <v>2021</v>
      </c>
      <c r="G8" s="357">
        <v>2020</v>
      </c>
      <c r="H8" s="358"/>
    </row>
    <row r="9" spans="1:11" ht="15">
      <c r="A9" s="374" t="s">
        <v>744</v>
      </c>
      <c r="B9" s="375"/>
      <c r="C9" s="375"/>
      <c r="D9" s="375"/>
      <c r="E9" s="375"/>
      <c r="F9" s="375"/>
      <c r="G9" s="376"/>
      <c r="H9" s="377"/>
      <c r="K9" s="237"/>
    </row>
    <row r="10" spans="1:11" ht="15">
      <c r="A10" s="355"/>
      <c r="B10" s="355" t="s">
        <v>745</v>
      </c>
      <c r="C10" s="355"/>
      <c r="D10" s="355"/>
      <c r="E10" s="378">
        <v>474452821.74</v>
      </c>
      <c r="F10" s="378">
        <v>462848537.48</v>
      </c>
      <c r="G10" s="378">
        <v>364743513.69</v>
      </c>
      <c r="H10" s="379"/>
      <c r="K10" s="237" t="e">
        <f>+G10+#REF!</f>
        <v>#REF!</v>
      </c>
    </row>
    <row r="11" spans="1:11" ht="15">
      <c r="A11" s="355"/>
      <c r="B11" s="355" t="s">
        <v>678</v>
      </c>
      <c r="C11" s="355"/>
      <c r="D11" s="355"/>
      <c r="E11" s="378">
        <v>59100259.92</v>
      </c>
      <c r="F11" s="378">
        <v>64422589</v>
      </c>
      <c r="G11" s="378">
        <v>63323357</v>
      </c>
      <c r="H11" s="379"/>
      <c r="K11" s="237" t="e">
        <f>+G11+#REF!</f>
        <v>#REF!</v>
      </c>
    </row>
    <row r="12" spans="1:13" ht="15">
      <c r="A12" s="355"/>
      <c r="B12" s="355" t="s">
        <v>746</v>
      </c>
      <c r="C12" s="355"/>
      <c r="D12" s="355"/>
      <c r="E12" s="383">
        <f>634008.57+8653.09+500000</f>
        <v>1142661.66</v>
      </c>
      <c r="F12" s="383">
        <v>613168.43</v>
      </c>
      <c r="G12" s="383">
        <v>867898.06</v>
      </c>
      <c r="H12" s="379"/>
      <c r="K12" s="237" t="e">
        <f>+G12+#REF!</f>
        <v>#REF!</v>
      </c>
      <c r="M12" s="237"/>
    </row>
    <row r="13" spans="1:13" ht="15">
      <c r="A13" s="374" t="s">
        <v>842</v>
      </c>
      <c r="B13" s="355"/>
      <c r="C13" s="355"/>
      <c r="D13" s="355"/>
      <c r="E13" s="380">
        <f>SUM(E10:E12)</f>
        <v>534695743.32000005</v>
      </c>
      <c r="F13" s="380">
        <f>SUM(F10:F12)</f>
        <v>527884294.91</v>
      </c>
      <c r="G13" s="380">
        <f>SUM(G10:G12)</f>
        <v>428934768.75</v>
      </c>
      <c r="H13" s="379"/>
      <c r="K13" s="237" t="e">
        <f>+G13+#REF!</f>
        <v>#REF!</v>
      </c>
      <c r="M13" s="445"/>
    </row>
    <row r="14" spans="1:13" ht="15">
      <c r="A14" s="355"/>
      <c r="B14" s="355" t="s">
        <v>612</v>
      </c>
      <c r="C14" s="355"/>
      <c r="D14" s="355"/>
      <c r="E14" s="355"/>
      <c r="F14" s="355"/>
      <c r="G14" s="378"/>
      <c r="H14" s="378"/>
      <c r="M14" s="349"/>
    </row>
    <row r="15" spans="1:11" ht="15">
      <c r="A15" s="374" t="s">
        <v>1002</v>
      </c>
      <c r="B15" s="355"/>
      <c r="C15" s="355"/>
      <c r="D15" s="355"/>
      <c r="E15" s="355"/>
      <c r="F15" s="355"/>
      <c r="G15" s="379"/>
      <c r="H15" s="379"/>
      <c r="J15" s="350"/>
      <c r="K15" s="237"/>
    </row>
    <row r="16" spans="1:12" ht="15">
      <c r="A16" s="355"/>
      <c r="B16" s="355" t="s">
        <v>747</v>
      </c>
      <c r="C16" s="355"/>
      <c r="D16" s="355"/>
      <c r="E16" s="363">
        <f>+'Notas Estado de Resultados'!H48</f>
        <v>404356333.09999996</v>
      </c>
      <c r="F16" s="363">
        <v>348666564.84</v>
      </c>
      <c r="G16" s="363">
        <v>280047658.96</v>
      </c>
      <c r="H16" s="378"/>
      <c r="J16" s="348"/>
      <c r="K16" s="237"/>
      <c r="L16" s="237"/>
    </row>
    <row r="17" spans="1:11" ht="15">
      <c r="A17" s="355"/>
      <c r="B17" s="355" t="s">
        <v>748</v>
      </c>
      <c r="C17" s="355"/>
      <c r="D17" s="355"/>
      <c r="E17" s="363">
        <f>+'Notas Estado de Resultados'!H268</f>
        <v>1274863.77</v>
      </c>
      <c r="F17" s="363">
        <v>953723.53</v>
      </c>
      <c r="G17" s="363">
        <v>1434300.51</v>
      </c>
      <c r="H17" s="379"/>
      <c r="J17" s="348"/>
      <c r="K17" s="237"/>
    </row>
    <row r="18" spans="1:14" ht="15">
      <c r="A18" s="355"/>
      <c r="B18" s="251" t="s">
        <v>749</v>
      </c>
      <c r="C18" s="355"/>
      <c r="D18" s="355"/>
      <c r="E18" s="363">
        <f>+'Notas Estado de Resultados'!H222</f>
        <v>29367212.619999994</v>
      </c>
      <c r="F18" s="363">
        <v>27236509.94</v>
      </c>
      <c r="G18" s="363">
        <v>22049692.33</v>
      </c>
      <c r="H18" s="379"/>
      <c r="J18" s="348"/>
      <c r="K18" s="237"/>
      <c r="L18" s="238"/>
      <c r="N18" s="257"/>
    </row>
    <row r="19" spans="1:12" ht="15">
      <c r="A19" s="355"/>
      <c r="B19" s="355" t="s">
        <v>750</v>
      </c>
      <c r="C19" s="355"/>
      <c r="D19" s="355"/>
      <c r="E19" s="363">
        <f>+'Notas Estado de Resultados'!H374</f>
        <v>15997928.38</v>
      </c>
      <c r="F19" s="363">
        <v>15731967.88</v>
      </c>
      <c r="G19" s="363">
        <v>17522395.13</v>
      </c>
      <c r="H19" s="379"/>
      <c r="J19" s="351"/>
      <c r="K19" s="237"/>
      <c r="L19" s="347"/>
    </row>
    <row r="20" spans="1:11" ht="15" hidden="1">
      <c r="A20" s="355"/>
      <c r="B20" s="355" t="s">
        <v>751</v>
      </c>
      <c r="C20" s="355"/>
      <c r="D20" s="355"/>
      <c r="E20" s="363"/>
      <c r="F20" s="363"/>
      <c r="G20" s="363">
        <v>0</v>
      </c>
      <c r="H20" s="379"/>
      <c r="K20" s="237"/>
    </row>
    <row r="21" spans="1:14" ht="15">
      <c r="A21" s="355"/>
      <c r="B21" s="251" t="s">
        <v>752</v>
      </c>
      <c r="C21" s="355"/>
      <c r="D21" s="355"/>
      <c r="E21" s="526">
        <f>+'Notas Estado de Resultados'!H134</f>
        <v>55577947.61000001</v>
      </c>
      <c r="F21" s="526">
        <v>64390613.62</v>
      </c>
      <c r="G21" s="371">
        <v>55752390.46</v>
      </c>
      <c r="H21" s="379"/>
      <c r="J21" s="237"/>
      <c r="K21" s="237"/>
      <c r="L21" s="238"/>
      <c r="N21" s="257"/>
    </row>
    <row r="22" spans="1:11" ht="15">
      <c r="A22" s="355"/>
      <c r="B22" s="355" t="s">
        <v>753</v>
      </c>
      <c r="C22" s="355"/>
      <c r="D22" s="355"/>
      <c r="E22" s="527">
        <f>+'Notas Estado de Resultados'!H160</f>
        <v>10396804.74</v>
      </c>
      <c r="F22" s="527"/>
      <c r="G22" s="378">
        <v>0</v>
      </c>
      <c r="H22" s="379"/>
      <c r="K22" s="237" t="e">
        <f>+G22+#REF!</f>
        <v>#REF!</v>
      </c>
    </row>
    <row r="23" spans="1:12" ht="15">
      <c r="A23" s="374" t="s">
        <v>843</v>
      </c>
      <c r="B23" s="355"/>
      <c r="C23" s="355"/>
      <c r="D23" s="355"/>
      <c r="E23" s="380">
        <f>SUM(E16:E22)</f>
        <v>516971090.21999997</v>
      </c>
      <c r="F23" s="380">
        <f>SUM(F16:F21)</f>
        <v>456979379.80999994</v>
      </c>
      <c r="G23" s="380">
        <f>SUM(G16:G22)</f>
        <v>376806437.3899999</v>
      </c>
      <c r="H23" s="379"/>
      <c r="K23" s="237" t="e">
        <f>+G23+#REF!</f>
        <v>#REF!</v>
      </c>
      <c r="L23" s="237"/>
    </row>
    <row r="24" spans="1:11" ht="15">
      <c r="A24" s="381"/>
      <c r="B24" s="355"/>
      <c r="C24" s="355"/>
      <c r="D24" s="355"/>
      <c r="E24" s="355"/>
      <c r="F24" s="355"/>
      <c r="G24" s="378"/>
      <c r="H24" s="378"/>
      <c r="K24" s="237" t="e">
        <f>+G24+#REF!</f>
        <v>#REF!</v>
      </c>
    </row>
    <row r="25" spans="1:11" ht="15">
      <c r="A25" s="355"/>
      <c r="B25" s="355" t="s">
        <v>754</v>
      </c>
      <c r="C25" s="355"/>
      <c r="D25" s="355"/>
      <c r="E25" s="526">
        <v>103576.29</v>
      </c>
      <c r="F25" s="355"/>
      <c r="G25" s="378">
        <v>0</v>
      </c>
      <c r="H25" s="379"/>
      <c r="K25" s="237" t="e">
        <f>+G25+#REF!</f>
        <v>#REF!</v>
      </c>
    </row>
    <row r="26" spans="1:11" ht="15">
      <c r="A26" s="355"/>
      <c r="B26" s="355"/>
      <c r="C26" s="355"/>
      <c r="D26" s="355"/>
      <c r="E26" s="355"/>
      <c r="F26" s="355"/>
      <c r="G26" s="378"/>
      <c r="H26" s="379"/>
      <c r="K26" s="237" t="e">
        <f>+G26+#REF!</f>
        <v>#REF!</v>
      </c>
    </row>
    <row r="27" spans="1:11" ht="15">
      <c r="A27" s="355"/>
      <c r="B27" s="355" t="s">
        <v>755</v>
      </c>
      <c r="C27" s="355"/>
      <c r="D27" s="355"/>
      <c r="E27" s="355"/>
      <c r="F27" s="355"/>
      <c r="G27" s="378">
        <v>0</v>
      </c>
      <c r="H27" s="379"/>
      <c r="K27" s="237" t="e">
        <f>+G27+#REF!</f>
        <v>#REF!</v>
      </c>
    </row>
    <row r="28" spans="1:12" ht="15">
      <c r="A28" s="355"/>
      <c r="B28" s="355"/>
      <c r="C28" s="355"/>
      <c r="D28" s="355"/>
      <c r="E28" s="384"/>
      <c r="F28" s="384"/>
      <c r="G28" s="383"/>
      <c r="H28" s="379"/>
      <c r="L28" s="237"/>
    </row>
    <row r="29" spans="1:11" ht="15.75" thickBot="1">
      <c r="A29" s="374" t="s">
        <v>841</v>
      </c>
      <c r="B29" s="355"/>
      <c r="C29" s="355"/>
      <c r="D29" s="355"/>
      <c r="E29" s="385">
        <f>+E13-E23-E25</f>
        <v>17621076.810000084</v>
      </c>
      <c r="F29" s="385">
        <f>+F13-F23</f>
        <v>70904915.10000008</v>
      </c>
      <c r="G29" s="385">
        <f>+G13-G23+G25+G27</f>
        <v>52128331.360000074</v>
      </c>
      <c r="H29" s="379"/>
      <c r="K29" s="237" t="e">
        <f>+G29+#REF!</f>
        <v>#REF!</v>
      </c>
    </row>
    <row r="30" spans="1:8" ht="15.75" thickTop="1">
      <c r="A30" s="374"/>
      <c r="B30" s="355"/>
      <c r="C30" s="355"/>
      <c r="D30" s="355"/>
      <c r="E30" s="355"/>
      <c r="F30" s="355"/>
      <c r="G30" s="378"/>
      <c r="H30" s="378"/>
    </row>
    <row r="31" spans="1:11" ht="15">
      <c r="A31" s="381"/>
      <c r="B31" s="355"/>
      <c r="C31" s="355"/>
      <c r="D31" s="355"/>
      <c r="E31" s="355"/>
      <c r="F31" s="355"/>
      <c r="G31" s="378"/>
      <c r="H31" s="378"/>
      <c r="K31" s="237" t="e">
        <f>+G31+#REF!</f>
        <v>#REF!</v>
      </c>
    </row>
    <row r="32" spans="1:11" ht="15">
      <c r="A32" s="374"/>
      <c r="B32" s="355"/>
      <c r="C32" s="355"/>
      <c r="D32" s="355"/>
      <c r="E32" s="355"/>
      <c r="F32" s="355"/>
      <c r="G32" s="378">
        <v>0</v>
      </c>
      <c r="H32" s="379"/>
      <c r="K32" s="237" t="e">
        <f>+G32+#REF!</f>
        <v>#REF!</v>
      </c>
    </row>
    <row r="33" spans="1:11" ht="15">
      <c r="A33" s="355"/>
      <c r="B33" s="355"/>
      <c r="C33" s="355"/>
      <c r="D33" s="355"/>
      <c r="E33" s="355"/>
      <c r="F33" s="355"/>
      <c r="G33" s="378">
        <v>0</v>
      </c>
      <c r="H33" s="379"/>
      <c r="K33" s="237" t="e">
        <f>+G33+#REF!</f>
        <v>#REF!</v>
      </c>
    </row>
    <row r="34" spans="1:11" ht="15">
      <c r="A34" s="374"/>
      <c r="B34" s="355"/>
      <c r="C34" s="355"/>
      <c r="D34" s="355"/>
      <c r="E34" s="355"/>
      <c r="F34" s="355"/>
      <c r="G34" s="380">
        <f>SUM(G32:G33)</f>
        <v>0</v>
      </c>
      <c r="H34" s="382"/>
      <c r="K34" s="237" t="e">
        <f>+G34+#REF!</f>
        <v>#REF!</v>
      </c>
    </row>
    <row r="35" spans="1:8" ht="15">
      <c r="A35" s="374"/>
      <c r="B35" s="355"/>
      <c r="C35" s="355"/>
      <c r="D35" s="355"/>
      <c r="E35" s="355"/>
      <c r="F35" s="355"/>
      <c r="G35" s="378"/>
      <c r="H35" s="378"/>
    </row>
    <row r="36" spans="1:8" ht="15">
      <c r="A36" s="355"/>
      <c r="B36" s="355"/>
      <c r="C36" s="355"/>
      <c r="D36" s="355"/>
      <c r="E36" s="355"/>
      <c r="F36" s="355"/>
      <c r="G36" s="378"/>
      <c r="H36" s="378"/>
    </row>
    <row r="37" spans="1:8" ht="15">
      <c r="A37" s="608" t="s">
        <v>1141</v>
      </c>
      <c r="B37" s="608"/>
      <c r="C37" s="608"/>
      <c r="D37" s="608"/>
      <c r="E37" s="608"/>
      <c r="F37" s="608"/>
      <c r="G37" s="608"/>
      <c r="H37" s="608"/>
    </row>
    <row r="38" spans="2:6" ht="15">
      <c r="B38" s="242"/>
      <c r="C38" s="242"/>
      <c r="D38" s="242"/>
      <c r="E38" s="446"/>
      <c r="F38" s="242"/>
    </row>
    <row r="40" spans="7:8" ht="15">
      <c r="G40" s="237"/>
      <c r="H40" s="237"/>
    </row>
    <row r="41" spans="4:6" ht="15">
      <c r="D41" s="243"/>
      <c r="E41" s="243"/>
      <c r="F41" s="243"/>
    </row>
    <row r="42" ht="15"/>
    <row r="43" spans="2:5" ht="15">
      <c r="B43" s="235" t="s">
        <v>756</v>
      </c>
      <c r="D43" s="243"/>
      <c r="E43" s="243"/>
    </row>
    <row r="44" spans="4:5" ht="15">
      <c r="D44" s="243"/>
      <c r="E44" s="243"/>
    </row>
    <row r="45" spans="4:5" ht="15">
      <c r="D45" s="243"/>
      <c r="E45" s="243"/>
    </row>
    <row r="47" spans="4:5" ht="15">
      <c r="D47" s="243"/>
      <c r="E47" s="243"/>
    </row>
    <row r="48" ht="15"/>
    <row r="49" spans="1:5" ht="18.75">
      <c r="A49" s="80" t="s">
        <v>741</v>
      </c>
      <c r="B49" s="255"/>
      <c r="D49" s="256" t="s">
        <v>742</v>
      </c>
      <c r="E49" s="256"/>
    </row>
  </sheetData>
  <sheetProtection/>
  <mergeCells count="5">
    <mergeCell ref="A1:H1"/>
    <mergeCell ref="A2:H2"/>
    <mergeCell ref="A3:H3"/>
    <mergeCell ref="A4:H4"/>
    <mergeCell ref="A37:H37"/>
  </mergeCells>
  <printOptions/>
  <pageMargins left="1.4" right="0.7" top="0.75" bottom="0.75" header="0.3" footer="0.3"/>
  <pageSetup horizontalDpi="600" verticalDpi="600" orientation="portrait" scale="81" r:id="rId2"/>
  <drawing r:id="rId1"/>
</worksheet>
</file>

<file path=xl/worksheets/sheet3.xml><?xml version="1.0" encoding="utf-8"?>
<worksheet xmlns="http://schemas.openxmlformats.org/spreadsheetml/2006/main" xmlns:r="http://schemas.openxmlformats.org/officeDocument/2006/relationships">
  <dimension ref="A2:P44"/>
  <sheetViews>
    <sheetView zoomScalePageLayoutView="0" workbookViewId="0" topLeftCell="B1">
      <selection activeCell="C14" sqref="C14"/>
    </sheetView>
  </sheetViews>
  <sheetFormatPr defaultColWidth="11.421875" defaultRowHeight="15"/>
  <cols>
    <col min="1" max="1" width="3.7109375" style="235" customWidth="1"/>
    <col min="2" max="2" width="1.28515625" style="235" customWidth="1"/>
    <col min="3" max="3" width="36.140625" style="235" customWidth="1"/>
    <col min="4" max="4" width="1.7109375" style="235" customWidth="1"/>
    <col min="5" max="5" width="17.57421875" style="239" customWidth="1"/>
    <col min="6" max="6" width="1.7109375" style="239" customWidth="1"/>
    <col min="7" max="7" width="14.7109375" style="239" customWidth="1"/>
    <col min="8" max="8" width="1.7109375" style="239" customWidth="1"/>
    <col min="9" max="9" width="14.421875" style="239" customWidth="1"/>
    <col min="10" max="10" width="1.7109375" style="239" customWidth="1"/>
    <col min="11" max="11" width="16.421875" style="235" customWidth="1"/>
    <col min="12" max="12" width="1.7109375" style="235" customWidth="1"/>
    <col min="13" max="13" width="19.140625" style="235" customWidth="1"/>
    <col min="14" max="14" width="3.7109375" style="235" customWidth="1"/>
    <col min="15" max="15" width="17.421875" style="235" customWidth="1"/>
    <col min="16" max="16" width="17.00390625" style="236" customWidth="1"/>
    <col min="17" max="16384" width="11.421875" style="236" customWidth="1"/>
  </cols>
  <sheetData>
    <row r="2" spans="2:13" ht="15.75">
      <c r="B2" s="604" t="str">
        <f>+'[5]ESF - Situación Financiera'!A1</f>
        <v>OFICINA NACIONAL DE LA PROPIEDAD INDUSTRIAL(ONAPI)</v>
      </c>
      <c r="C2" s="604"/>
      <c r="D2" s="604"/>
      <c r="E2" s="604"/>
      <c r="F2" s="604"/>
      <c r="G2" s="604"/>
      <c r="H2" s="604"/>
      <c r="I2" s="604"/>
      <c r="J2" s="604"/>
      <c r="K2" s="604"/>
      <c r="L2" s="604"/>
      <c r="M2" s="604"/>
    </row>
    <row r="3" spans="2:13" ht="15.75">
      <c r="B3" s="604" t="s">
        <v>757</v>
      </c>
      <c r="C3" s="604"/>
      <c r="D3" s="604"/>
      <c r="E3" s="604"/>
      <c r="F3" s="604"/>
      <c r="G3" s="604"/>
      <c r="H3" s="604"/>
      <c r="I3" s="604"/>
      <c r="J3" s="604"/>
      <c r="K3" s="604"/>
      <c r="L3" s="604"/>
      <c r="M3" s="604"/>
    </row>
    <row r="4" spans="2:13" ht="15.75">
      <c r="B4" s="604" t="s">
        <v>914</v>
      </c>
      <c r="C4" s="604"/>
      <c r="D4" s="604"/>
      <c r="E4" s="604"/>
      <c r="F4" s="604"/>
      <c r="G4" s="604"/>
      <c r="H4" s="604"/>
      <c r="I4" s="604"/>
      <c r="J4" s="604"/>
      <c r="K4" s="604"/>
      <c r="L4" s="604"/>
      <c r="M4" s="604"/>
    </row>
    <row r="5" spans="2:13" ht="15.75">
      <c r="B5" s="604" t="s">
        <v>710</v>
      </c>
      <c r="C5" s="604"/>
      <c r="D5" s="604"/>
      <c r="E5" s="604"/>
      <c r="F5" s="604"/>
      <c r="G5" s="604"/>
      <c r="H5" s="604"/>
      <c r="I5" s="604"/>
      <c r="J5" s="604"/>
      <c r="K5" s="604"/>
      <c r="L5" s="604"/>
      <c r="M5" s="604"/>
    </row>
    <row r="6" spans="2:13" ht="15">
      <c r="B6" s="355"/>
      <c r="C6" s="356"/>
      <c r="D6" s="356"/>
      <c r="E6" s="387"/>
      <c r="F6" s="387"/>
      <c r="G6" s="387"/>
      <c r="H6" s="388"/>
      <c r="I6" s="387"/>
      <c r="J6" s="387"/>
      <c r="K6" s="355"/>
      <c r="L6" s="356"/>
      <c r="M6" s="355"/>
    </row>
    <row r="7" spans="2:13" ht="42.75">
      <c r="B7" s="355"/>
      <c r="C7" s="392"/>
      <c r="D7" s="392"/>
      <c r="E7" s="455" t="s">
        <v>758</v>
      </c>
      <c r="F7" s="456"/>
      <c r="G7" s="455" t="s">
        <v>759</v>
      </c>
      <c r="H7" s="457"/>
      <c r="I7" s="455" t="s">
        <v>760</v>
      </c>
      <c r="J7" s="456"/>
      <c r="K7" s="455" t="s">
        <v>761</v>
      </c>
      <c r="L7" s="456"/>
      <c r="M7" s="455" t="s">
        <v>762</v>
      </c>
    </row>
    <row r="8" spans="2:14" ht="15">
      <c r="B8" s="355"/>
      <c r="C8" s="392" t="s">
        <v>767</v>
      </c>
      <c r="D8" s="355"/>
      <c r="E8" s="552">
        <v>114633130</v>
      </c>
      <c r="F8" s="553"/>
      <c r="G8" s="552"/>
      <c r="H8" s="554"/>
      <c r="I8" s="552"/>
      <c r="J8" s="553"/>
      <c r="K8" s="554">
        <v>251521965</v>
      </c>
      <c r="L8" s="554"/>
      <c r="M8" s="554">
        <f>SUM(E8,G8,I8,K8)</f>
        <v>366155095</v>
      </c>
      <c r="N8" s="237"/>
    </row>
    <row r="9" spans="1:15" s="4" customFormat="1" ht="15">
      <c r="A9" s="239"/>
      <c r="B9" s="387"/>
      <c r="C9" s="355" t="s">
        <v>763</v>
      </c>
      <c r="D9" s="355"/>
      <c r="E9" s="552">
        <v>0</v>
      </c>
      <c r="F9" s="553"/>
      <c r="G9" s="552"/>
      <c r="H9" s="554"/>
      <c r="I9" s="552"/>
      <c r="J9" s="553"/>
      <c r="K9" s="552"/>
      <c r="L9" s="554"/>
      <c r="M9" s="552"/>
      <c r="N9" s="239"/>
      <c r="O9" s="239"/>
    </row>
    <row r="10" spans="1:15" s="4" customFormat="1" ht="15">
      <c r="A10" s="239"/>
      <c r="B10" s="387"/>
      <c r="C10" s="355" t="s">
        <v>764</v>
      </c>
      <c r="D10" s="355"/>
      <c r="E10" s="552">
        <v>0</v>
      </c>
      <c r="F10" s="553"/>
      <c r="G10" s="552"/>
      <c r="H10" s="554"/>
      <c r="I10" s="552"/>
      <c r="J10" s="553"/>
      <c r="K10" s="552"/>
      <c r="L10" s="554"/>
      <c r="M10" s="552"/>
      <c r="N10" s="239"/>
      <c r="O10" s="239"/>
    </row>
    <row r="11" spans="2:15" ht="15">
      <c r="B11" s="355"/>
      <c r="C11" s="355" t="s">
        <v>765</v>
      </c>
      <c r="D11" s="355"/>
      <c r="E11" s="554">
        <v>-1484654</v>
      </c>
      <c r="F11" s="553"/>
      <c r="G11" s="552"/>
      <c r="H11" s="554"/>
      <c r="I11" s="552"/>
      <c r="J11" s="553"/>
      <c r="K11" s="554"/>
      <c r="L11" s="554"/>
      <c r="M11" s="554">
        <f>SUM(E11,G11,I11,K11)</f>
        <v>-1484654</v>
      </c>
      <c r="O11" s="237"/>
    </row>
    <row r="12" spans="2:15" ht="15">
      <c r="B12" s="355"/>
      <c r="C12" s="355" t="s">
        <v>766</v>
      </c>
      <c r="D12" s="355"/>
      <c r="E12" s="555">
        <v>0</v>
      </c>
      <c r="F12" s="553"/>
      <c r="G12" s="555"/>
      <c r="H12" s="554"/>
      <c r="I12" s="555"/>
      <c r="J12" s="553"/>
      <c r="K12" s="556">
        <v>70904915</v>
      </c>
      <c r="L12" s="554"/>
      <c r="M12" s="556">
        <f>SUM(E12,G12,I12,K12)</f>
        <v>70904915</v>
      </c>
      <c r="O12" s="237"/>
    </row>
    <row r="13" spans="2:16" ht="15.75" thickBot="1">
      <c r="B13" s="355"/>
      <c r="C13" s="392" t="s">
        <v>771</v>
      </c>
      <c r="D13" s="355"/>
      <c r="E13" s="557">
        <f>SUM(E8:E12)</f>
        <v>113148476</v>
      </c>
      <c r="F13" s="558"/>
      <c r="G13" s="557">
        <f>SUM(G8:G12)</f>
        <v>0</v>
      </c>
      <c r="H13" s="559"/>
      <c r="I13" s="557">
        <f>SUM(I8:I12)</f>
        <v>0</v>
      </c>
      <c r="J13" s="558"/>
      <c r="K13" s="559">
        <f>SUM(K8:K12)</f>
        <v>322426880</v>
      </c>
      <c r="L13" s="559"/>
      <c r="M13" s="559">
        <f>SUM(M8:M12)</f>
        <v>435575356</v>
      </c>
      <c r="P13" s="254"/>
    </row>
    <row r="14" spans="2:16" ht="15.75" thickTop="1">
      <c r="B14" s="355"/>
      <c r="C14" s="458" t="s">
        <v>915</v>
      </c>
      <c r="D14" s="251"/>
      <c r="E14" s="560">
        <v>113148476</v>
      </c>
      <c r="F14" s="560"/>
      <c r="G14" s="560"/>
      <c r="H14" s="554"/>
      <c r="I14" s="560"/>
      <c r="J14" s="560"/>
      <c r="K14" s="554">
        <v>322426880</v>
      </c>
      <c r="L14" s="554"/>
      <c r="M14" s="554">
        <f>SUM(E14:L14)</f>
        <v>435575356</v>
      </c>
      <c r="P14" s="423"/>
    </row>
    <row r="15" spans="1:16" s="4" customFormat="1" ht="15">
      <c r="A15" s="239"/>
      <c r="B15" s="387"/>
      <c r="C15" s="390" t="s">
        <v>763</v>
      </c>
      <c r="D15" s="355"/>
      <c r="E15" s="561"/>
      <c r="F15" s="562"/>
      <c r="G15" s="561"/>
      <c r="H15" s="563"/>
      <c r="I15" s="561"/>
      <c r="J15" s="562"/>
      <c r="K15" s="561"/>
      <c r="L15" s="563"/>
      <c r="M15" s="561"/>
      <c r="N15" s="239"/>
      <c r="O15" s="239"/>
      <c r="P15" s="424">
        <f>P13-P14</f>
        <v>0</v>
      </c>
    </row>
    <row r="16" spans="1:15" s="4" customFormat="1" ht="30">
      <c r="A16" s="239"/>
      <c r="B16" s="387"/>
      <c r="C16" s="390" t="s">
        <v>764</v>
      </c>
      <c r="D16" s="355"/>
      <c r="E16" s="561"/>
      <c r="F16" s="562"/>
      <c r="G16" s="561"/>
      <c r="H16" s="563"/>
      <c r="I16" s="561"/>
      <c r="J16" s="562"/>
      <c r="K16" s="561"/>
      <c r="L16" s="563"/>
      <c r="M16" s="561"/>
      <c r="N16" s="239"/>
      <c r="O16" s="239"/>
    </row>
    <row r="17" spans="1:15" s="4" customFormat="1" ht="30">
      <c r="A17" s="239"/>
      <c r="B17" s="387"/>
      <c r="C17" s="391" t="s">
        <v>768</v>
      </c>
      <c r="D17" s="355"/>
      <c r="E17" s="561"/>
      <c r="F17" s="562"/>
      <c r="G17" s="561"/>
      <c r="H17" s="563"/>
      <c r="I17" s="561"/>
      <c r="J17" s="562"/>
      <c r="K17" s="561"/>
      <c r="L17" s="563"/>
      <c r="M17" s="561"/>
      <c r="N17" s="239"/>
      <c r="O17" s="239"/>
    </row>
    <row r="18" spans="2:13" ht="15">
      <c r="B18" s="355"/>
      <c r="C18" s="390" t="s">
        <v>765</v>
      </c>
      <c r="D18" s="355"/>
      <c r="E18" s="561"/>
      <c r="F18" s="562"/>
      <c r="G18" s="561"/>
      <c r="H18" s="563"/>
      <c r="I18" s="561"/>
      <c r="J18" s="562"/>
      <c r="K18" s="563">
        <f>-38336.33+71</f>
        <v>-38265.33</v>
      </c>
      <c r="L18" s="563"/>
      <c r="M18" s="563">
        <f>SUM(E18,G18,I18,K18)</f>
        <v>-38265.33</v>
      </c>
    </row>
    <row r="19" spans="2:13" ht="15">
      <c r="B19" s="355"/>
      <c r="C19" s="390" t="s">
        <v>766</v>
      </c>
      <c r="D19" s="355"/>
      <c r="E19" s="564"/>
      <c r="F19" s="562"/>
      <c r="G19" s="564"/>
      <c r="H19" s="563"/>
      <c r="I19" s="564"/>
      <c r="J19" s="562"/>
      <c r="K19" s="565">
        <f>+'Estado de Situación Financiera '!D48</f>
        <v>17621076.810000084</v>
      </c>
      <c r="L19" s="563"/>
      <c r="M19" s="565">
        <f>SUM(E19,G19,I19,K19)</f>
        <v>17621076.810000084</v>
      </c>
    </row>
    <row r="20" spans="2:13" ht="15.75" thickBot="1">
      <c r="B20" s="374"/>
      <c r="C20" s="392" t="s">
        <v>916</v>
      </c>
      <c r="D20" s="355"/>
      <c r="E20" s="559">
        <f>SUM(E14:E19)</f>
        <v>113148476</v>
      </c>
      <c r="F20" s="566"/>
      <c r="G20" s="559">
        <f>SUM(G19,G13)</f>
        <v>0</v>
      </c>
      <c r="H20" s="567"/>
      <c r="I20" s="559">
        <f>SUM(I19,I13)</f>
        <v>0</v>
      </c>
      <c r="J20" s="566"/>
      <c r="K20" s="559">
        <f>SUM(K14:K19)</f>
        <v>340009691.4800001</v>
      </c>
      <c r="L20" s="568"/>
      <c r="M20" s="559">
        <f>SUM(M14:M19)</f>
        <v>453158167.4800001</v>
      </c>
    </row>
    <row r="21" spans="2:15" ht="15.75" thickTop="1">
      <c r="B21" s="374"/>
      <c r="C21" s="355"/>
      <c r="D21" s="355"/>
      <c r="E21" s="569"/>
      <c r="F21" s="569"/>
      <c r="G21" s="569"/>
      <c r="H21" s="569"/>
      <c r="I21" s="569"/>
      <c r="J21" s="569"/>
      <c r="K21" s="563"/>
      <c r="L21" s="563"/>
      <c r="M21" s="563"/>
      <c r="O21" s="378"/>
    </row>
    <row r="22" spans="2:15" ht="15">
      <c r="B22" s="374"/>
      <c r="C22" s="355"/>
      <c r="D22" s="355"/>
      <c r="E22" s="389"/>
      <c r="F22" s="389"/>
      <c r="G22" s="389"/>
      <c r="H22" s="389"/>
      <c r="I22" s="389"/>
      <c r="J22" s="389"/>
      <c r="K22" s="378"/>
      <c r="L22" s="378"/>
      <c r="M22" s="540">
        <f>+M20-'Estado de Situación Financiera '!D50</f>
        <v>0.27000004053115845</v>
      </c>
      <c r="O22" s="378"/>
    </row>
    <row r="23" spans="2:15" ht="15">
      <c r="B23" s="355"/>
      <c r="C23" s="236"/>
      <c r="D23" s="236"/>
      <c r="E23" s="236"/>
      <c r="F23" s="236"/>
      <c r="G23" s="236"/>
      <c r="H23" s="236"/>
      <c r="I23" s="236"/>
      <c r="J23" s="387"/>
      <c r="K23" s="378"/>
      <c r="L23" s="355"/>
      <c r="M23" s="355"/>
      <c r="O23" s="378"/>
    </row>
    <row r="24" spans="2:15" ht="15">
      <c r="B24" s="355"/>
      <c r="C24" s="355"/>
      <c r="D24" s="355"/>
      <c r="E24" s="355"/>
      <c r="F24" s="355"/>
      <c r="G24" s="355"/>
      <c r="H24" s="355"/>
      <c r="I24" s="355"/>
      <c r="J24" s="355"/>
      <c r="K24" s="355"/>
      <c r="L24" s="355"/>
      <c r="M24" s="355"/>
      <c r="O24" s="378"/>
    </row>
    <row r="25" spans="3:15" ht="15">
      <c r="C25" s="458" t="s">
        <v>1121</v>
      </c>
      <c r="D25" s="458"/>
      <c r="E25" s="458"/>
      <c r="F25" s="458"/>
      <c r="G25" s="458"/>
      <c r="H25" s="392"/>
      <c r="I25" s="392"/>
      <c r="K25" s="237"/>
      <c r="L25" s="242"/>
      <c r="O25" s="378"/>
    </row>
    <row r="26" spans="3:15" ht="15">
      <c r="C26" s="392" t="s">
        <v>918</v>
      </c>
      <c r="D26" s="392"/>
      <c r="E26" s="392"/>
      <c r="F26" s="392"/>
      <c r="G26" s="392"/>
      <c r="H26" s="392"/>
      <c r="I26" s="392"/>
      <c r="K26" s="237"/>
      <c r="L26" s="242"/>
      <c r="O26" s="378"/>
    </row>
    <row r="27" spans="3:15" ht="15">
      <c r="C27" s="392" t="s">
        <v>919</v>
      </c>
      <c r="D27" s="392"/>
      <c r="E27" s="392"/>
      <c r="F27" s="392"/>
      <c r="G27" s="392"/>
      <c r="H27" s="392"/>
      <c r="I27" s="392"/>
      <c r="K27" s="237"/>
      <c r="L27" s="242"/>
      <c r="O27" s="378"/>
    </row>
    <row r="28" spans="3:15" ht="15">
      <c r="C28" s="392" t="s">
        <v>920</v>
      </c>
      <c r="K28" s="237"/>
      <c r="O28" s="378"/>
    </row>
    <row r="29" spans="3:15" ht="15">
      <c r="C29" s="392" t="s">
        <v>921</v>
      </c>
      <c r="K29" s="237"/>
      <c r="O29" s="378"/>
    </row>
    <row r="30" spans="3:15" ht="15">
      <c r="C30" s="392" t="s">
        <v>917</v>
      </c>
      <c r="K30" s="237"/>
      <c r="O30" s="355"/>
    </row>
    <row r="31" spans="3:15" ht="15">
      <c r="C31" s="392" t="s">
        <v>939</v>
      </c>
      <c r="K31" s="237"/>
      <c r="O31" s="355"/>
    </row>
    <row r="32" spans="3:11" ht="15">
      <c r="C32" s="392" t="s">
        <v>845</v>
      </c>
      <c r="K32" s="237"/>
    </row>
    <row r="33" spans="3:11" ht="15">
      <c r="C33" s="392"/>
      <c r="K33" s="237"/>
    </row>
    <row r="34" spans="3:11" ht="15">
      <c r="C34" s="392"/>
      <c r="K34" s="237"/>
    </row>
    <row r="35" spans="3:11" ht="15">
      <c r="C35" s="608" t="s">
        <v>844</v>
      </c>
      <c r="D35" s="608"/>
      <c r="E35" s="608"/>
      <c r="F35" s="608"/>
      <c r="G35" s="608"/>
      <c r="H35" s="608"/>
      <c r="I35" s="608"/>
      <c r="K35" s="237"/>
    </row>
    <row r="36" spans="3:11" ht="15">
      <c r="C36" s="347"/>
      <c r="E36" s="241"/>
      <c r="F36" s="241"/>
      <c r="G36" s="241"/>
      <c r="H36" s="241"/>
      <c r="I36" s="241"/>
      <c r="K36" s="237"/>
    </row>
    <row r="37" spans="3:11" ht="15">
      <c r="C37" s="347"/>
      <c r="K37" s="237"/>
    </row>
    <row r="38" spans="5:11" ht="15">
      <c r="E38" s="258" t="s">
        <v>818</v>
      </c>
      <c r="K38" s="237"/>
    </row>
    <row r="42" ht="15"/>
    <row r="43" ht="15"/>
    <row r="44" spans="3:11" ht="15">
      <c r="C44" s="235" t="s">
        <v>769</v>
      </c>
      <c r="K44" s="235" t="s">
        <v>770</v>
      </c>
    </row>
  </sheetData>
  <sheetProtection/>
  <mergeCells count="5">
    <mergeCell ref="B2:M2"/>
    <mergeCell ref="B3:M3"/>
    <mergeCell ref="B4:M4"/>
    <mergeCell ref="B5:M5"/>
    <mergeCell ref="C35:I35"/>
  </mergeCells>
  <printOptions/>
  <pageMargins left="1.77" right="0.36" top="0.7480314960629921" bottom="0.7480314960629921" header="0.31496062992125984" footer="0.31496062992125984"/>
  <pageSetup horizontalDpi="600" verticalDpi="600" orientation="landscape" scale="68" r:id="rId2"/>
  <drawing r:id="rId1"/>
</worksheet>
</file>

<file path=xl/worksheets/sheet4.xml><?xml version="1.0" encoding="utf-8"?>
<worksheet xmlns="http://schemas.openxmlformats.org/spreadsheetml/2006/main" xmlns:r="http://schemas.openxmlformats.org/officeDocument/2006/relationships">
  <dimension ref="A1:L81"/>
  <sheetViews>
    <sheetView zoomScalePageLayoutView="0" workbookViewId="0" topLeftCell="A15">
      <selection activeCell="B75" sqref="B75"/>
    </sheetView>
  </sheetViews>
  <sheetFormatPr defaultColWidth="11.421875" defaultRowHeight="15"/>
  <cols>
    <col min="1" max="1" width="11.421875" style="4" customWidth="1"/>
    <col min="2" max="2" width="53.00390625" style="4" customWidth="1"/>
    <col min="3" max="3" width="11.421875" style="4" customWidth="1"/>
    <col min="4" max="4" width="24.00390625" style="4" customWidth="1"/>
    <col min="5" max="5" width="33.421875" style="4" customWidth="1"/>
    <col min="6" max="6" width="27.57421875" style="4" hidden="1" customWidth="1"/>
    <col min="7" max="7" width="13.00390625" style="4" hidden="1" customWidth="1"/>
    <col min="8" max="9" width="11.421875" style="4" customWidth="1"/>
    <col min="10" max="10" width="16.140625" style="4" bestFit="1" customWidth="1"/>
    <col min="11" max="16384" width="11.421875" style="4" customWidth="1"/>
  </cols>
  <sheetData>
    <row r="1" spans="1:12" ht="15.75">
      <c r="A1" s="604" t="str">
        <f>+'[6]ESF - Situación Financiera'!A1</f>
        <v>OFICINA NACIONAL DE LA PROPIEDAD INDUSTRIAL(ONAPI)</v>
      </c>
      <c r="B1" s="604"/>
      <c r="C1" s="604"/>
      <c r="D1" s="604"/>
      <c r="E1" s="604"/>
      <c r="F1" s="604"/>
      <c r="G1" s="264"/>
      <c r="H1" s="265"/>
      <c r="I1" s="266"/>
      <c r="J1" s="266"/>
      <c r="K1" s="267"/>
      <c r="L1" s="236"/>
    </row>
    <row r="2" spans="1:12" ht="15.75">
      <c r="A2" s="604" t="s">
        <v>772</v>
      </c>
      <c r="B2" s="604"/>
      <c r="C2" s="604"/>
      <c r="D2" s="604"/>
      <c r="E2" s="604"/>
      <c r="F2" s="604"/>
      <c r="G2" s="264"/>
      <c r="H2" s="265"/>
      <c r="I2" s="266"/>
      <c r="J2" s="266"/>
      <c r="K2" s="267"/>
      <c r="L2" s="236"/>
    </row>
    <row r="3" spans="1:12" ht="15.75">
      <c r="A3" s="604" t="s">
        <v>937</v>
      </c>
      <c r="B3" s="604"/>
      <c r="C3" s="604"/>
      <c r="D3" s="604"/>
      <c r="E3" s="604"/>
      <c r="F3" s="604"/>
      <c r="G3" s="264"/>
      <c r="H3" s="265"/>
      <c r="I3" s="268"/>
      <c r="J3" s="266"/>
      <c r="K3" s="267"/>
      <c r="L3" s="236"/>
    </row>
    <row r="4" spans="1:12" ht="15.75">
      <c r="A4" s="604" t="s">
        <v>710</v>
      </c>
      <c r="B4" s="604"/>
      <c r="C4" s="604"/>
      <c r="D4" s="604"/>
      <c r="E4" s="604"/>
      <c r="F4" s="604"/>
      <c r="G4" s="264"/>
      <c r="H4" s="265"/>
      <c r="I4" s="268"/>
      <c r="J4" s="266"/>
      <c r="K4" s="267"/>
      <c r="L4" s="236"/>
    </row>
    <row r="5" spans="1:12" ht="15">
      <c r="A5" s="355"/>
      <c r="B5" s="356"/>
      <c r="C5" s="356"/>
      <c r="D5" s="356"/>
      <c r="E5" s="378"/>
      <c r="F5" s="355" t="s">
        <v>612</v>
      </c>
      <c r="G5" s="269"/>
      <c r="H5" s="265"/>
      <c r="I5" s="266"/>
      <c r="J5" s="268"/>
      <c r="K5" s="267"/>
      <c r="L5" s="236"/>
    </row>
    <row r="6" spans="1:12" ht="15">
      <c r="A6" s="355"/>
      <c r="B6" s="355"/>
      <c r="C6" s="355"/>
      <c r="D6" s="393">
        <v>2022</v>
      </c>
      <c r="E6" s="393">
        <v>2021</v>
      </c>
      <c r="F6" s="393">
        <v>2020</v>
      </c>
      <c r="G6" s="270"/>
      <c r="H6" s="265"/>
      <c r="I6" s="266"/>
      <c r="J6" s="268"/>
      <c r="K6" s="267"/>
      <c r="L6" s="236"/>
    </row>
    <row r="7" spans="1:12" ht="15">
      <c r="A7" s="374" t="s">
        <v>773</v>
      </c>
      <c r="B7" s="375"/>
      <c r="C7" s="375"/>
      <c r="D7" s="375"/>
      <c r="E7" s="376"/>
      <c r="F7" s="377"/>
      <c r="G7" s="271"/>
      <c r="H7" s="265"/>
      <c r="I7" s="266"/>
      <c r="J7" s="266"/>
      <c r="K7" s="267"/>
      <c r="L7" s="236"/>
    </row>
    <row r="8" spans="1:11" ht="15" customHeight="1">
      <c r="A8" s="387"/>
      <c r="B8" s="390" t="s">
        <v>774</v>
      </c>
      <c r="C8" s="355"/>
      <c r="D8" s="355"/>
      <c r="E8" s="389">
        <v>0</v>
      </c>
      <c r="F8" s="389">
        <v>0</v>
      </c>
      <c r="G8" s="272"/>
      <c r="H8" s="273"/>
      <c r="I8" s="274"/>
      <c r="J8" s="274"/>
      <c r="K8" s="194"/>
    </row>
    <row r="9" spans="1:11" ht="15" customHeight="1">
      <c r="A9" s="387"/>
      <c r="B9" s="390" t="s">
        <v>775</v>
      </c>
      <c r="C9" s="355"/>
      <c r="D9" s="355"/>
      <c r="E9" s="389">
        <v>0</v>
      </c>
      <c r="F9" s="389">
        <v>0</v>
      </c>
      <c r="G9" s="272"/>
      <c r="H9" s="273"/>
      <c r="I9" s="274"/>
      <c r="J9" s="274"/>
      <c r="K9" s="194"/>
    </row>
    <row r="10" spans="1:11" ht="15" customHeight="1">
      <c r="A10" s="387"/>
      <c r="B10" s="390" t="s">
        <v>776</v>
      </c>
      <c r="C10" s="355"/>
      <c r="D10" s="378">
        <v>474452822.62</v>
      </c>
      <c r="E10" s="378">
        <v>462848538</v>
      </c>
      <c r="F10" s="389">
        <v>364743514</v>
      </c>
      <c r="G10" s="272"/>
      <c r="H10" s="273"/>
      <c r="I10" s="275"/>
      <c r="J10" s="276"/>
      <c r="K10" s="194"/>
    </row>
    <row r="11" spans="1:12" ht="15" customHeight="1">
      <c r="A11" s="355"/>
      <c r="B11" s="390" t="s">
        <v>777</v>
      </c>
      <c r="C11" s="355"/>
      <c r="D11" s="378">
        <v>59100259.72</v>
      </c>
      <c r="E11" s="378">
        <v>64422589</v>
      </c>
      <c r="F11" s="378">
        <v>63323357</v>
      </c>
      <c r="G11" s="277"/>
      <c r="H11" s="265"/>
      <c r="I11" s="268"/>
      <c r="J11" s="278"/>
      <c r="K11" s="267"/>
      <c r="L11" s="236"/>
    </row>
    <row r="12" spans="1:11" ht="15" customHeight="1" hidden="1">
      <c r="A12" s="387"/>
      <c r="B12" s="390" t="s">
        <v>778</v>
      </c>
      <c r="C12" s="355"/>
      <c r="D12" s="389"/>
      <c r="E12" s="389"/>
      <c r="F12" s="389"/>
      <c r="G12" s="272"/>
      <c r="H12" s="273"/>
      <c r="I12" s="275"/>
      <c r="J12" s="276"/>
      <c r="K12" s="279"/>
    </row>
    <row r="13" spans="1:11" ht="15" customHeight="1" hidden="1">
      <c r="A13" s="387"/>
      <c r="B13" s="390" t="s">
        <v>779</v>
      </c>
      <c r="C13" s="355"/>
      <c r="D13" s="389"/>
      <c r="E13" s="389"/>
      <c r="F13" s="389"/>
      <c r="G13" s="272"/>
      <c r="H13" s="273"/>
      <c r="I13" s="274"/>
      <c r="J13" s="276"/>
      <c r="K13" s="194"/>
    </row>
    <row r="14" spans="1:11" ht="15" customHeight="1" hidden="1">
      <c r="A14" s="387"/>
      <c r="B14" s="390" t="s">
        <v>780</v>
      </c>
      <c r="C14" s="355"/>
      <c r="D14" s="389"/>
      <c r="E14" s="389"/>
      <c r="F14" s="389"/>
      <c r="G14" s="272"/>
      <c r="H14" s="273"/>
      <c r="I14" s="274"/>
      <c r="J14" s="276"/>
      <c r="K14" s="194"/>
    </row>
    <row r="15" spans="1:11" ht="15" customHeight="1">
      <c r="A15" s="387"/>
      <c r="B15" s="390" t="s">
        <v>781</v>
      </c>
      <c r="C15" s="355"/>
      <c r="D15" s="378">
        <v>1142662</v>
      </c>
      <c r="E15" s="378">
        <v>613168</v>
      </c>
      <c r="F15" s="389">
        <v>867898</v>
      </c>
      <c r="G15" s="272"/>
      <c r="H15" s="273"/>
      <c r="I15" s="275"/>
      <c r="J15" s="276"/>
      <c r="K15" s="194"/>
    </row>
    <row r="16" spans="1:11" ht="15" customHeight="1" hidden="1">
      <c r="A16" s="387"/>
      <c r="B16" s="390"/>
      <c r="C16" s="355"/>
      <c r="D16" s="389"/>
      <c r="E16" s="389"/>
      <c r="F16" s="389"/>
      <c r="G16" s="272"/>
      <c r="H16" s="273"/>
      <c r="I16" s="275"/>
      <c r="J16" s="276"/>
      <c r="K16" s="194"/>
    </row>
    <row r="17" spans="1:12" ht="15" customHeight="1">
      <c r="A17" s="355"/>
      <c r="B17" s="459" t="s">
        <v>782</v>
      </c>
      <c r="C17" s="251"/>
      <c r="D17" s="526">
        <v>-349522570.67</v>
      </c>
      <c r="E17" s="378">
        <v>-297771477</v>
      </c>
      <c r="F17" s="378">
        <v>-250566665</v>
      </c>
      <c r="G17" s="277"/>
      <c r="H17" s="265"/>
      <c r="I17" s="266"/>
      <c r="J17" s="278"/>
      <c r="K17" s="267"/>
      <c r="L17" s="236"/>
    </row>
    <row r="18" spans="1:11" ht="15" customHeight="1">
      <c r="A18" s="387"/>
      <c r="B18" s="459" t="s">
        <v>783</v>
      </c>
      <c r="C18" s="251"/>
      <c r="D18" s="368">
        <v>-39660235</v>
      </c>
      <c r="E18" s="389">
        <v>-35254941.92</v>
      </c>
      <c r="F18" s="389">
        <v>-29954521</v>
      </c>
      <c r="G18" s="272"/>
      <c r="H18" s="273"/>
      <c r="I18" s="274"/>
      <c r="J18" s="276"/>
      <c r="K18" s="194"/>
    </row>
    <row r="19" spans="1:11" ht="15" customHeight="1" hidden="1">
      <c r="A19" s="387"/>
      <c r="B19" s="390" t="s">
        <v>784</v>
      </c>
      <c r="C19" s="355"/>
      <c r="D19" s="389"/>
      <c r="E19" s="389"/>
      <c r="F19" s="389"/>
      <c r="G19" s="272"/>
      <c r="H19" s="273"/>
      <c r="I19" s="274"/>
      <c r="J19" s="276"/>
      <c r="K19" s="194"/>
    </row>
    <row r="20" spans="1:12" s="172" customFormat="1" ht="15" customHeight="1">
      <c r="A20" s="251"/>
      <c r="B20" s="459" t="s">
        <v>785</v>
      </c>
      <c r="C20" s="251"/>
      <c r="D20" s="363">
        <f>-92008704.08+11128715.91</f>
        <v>-80879988.17</v>
      </c>
      <c r="E20" s="363">
        <v>-75913886</v>
      </c>
      <c r="F20" s="363">
        <v>-74152805</v>
      </c>
      <c r="G20" s="460"/>
      <c r="H20" s="461"/>
      <c r="I20" s="462"/>
      <c r="J20" s="463"/>
      <c r="K20" s="464"/>
      <c r="L20" s="465"/>
    </row>
    <row r="21" spans="1:12" s="172" customFormat="1" ht="15" customHeight="1">
      <c r="A21" s="251"/>
      <c r="B21" s="459" t="s">
        <v>786</v>
      </c>
      <c r="C21" s="251"/>
      <c r="D21" s="371">
        <f>-6573129.1+492421.06</f>
        <v>-6080708.04</v>
      </c>
      <c r="E21" s="371">
        <v>-21882691</v>
      </c>
      <c r="F21" s="371">
        <v>-25942499</v>
      </c>
      <c r="G21" s="460"/>
      <c r="H21" s="466"/>
      <c r="I21" s="462"/>
      <c r="J21" s="463"/>
      <c r="K21" s="464"/>
      <c r="L21" s="465"/>
    </row>
    <row r="22" spans="1:12" ht="15" customHeight="1">
      <c r="A22" s="374" t="s">
        <v>787</v>
      </c>
      <c r="B22" s="355"/>
      <c r="C22" s="355"/>
      <c r="D22" s="380">
        <f>SUM(D8:D21)</f>
        <v>58552242.460000016</v>
      </c>
      <c r="E22" s="380">
        <f>SUM(E8:E21)</f>
        <v>97061299.07999998</v>
      </c>
      <c r="F22" s="380">
        <f>SUM(F10:F21)</f>
        <v>48318279</v>
      </c>
      <c r="G22" s="280"/>
      <c r="H22" s="265"/>
      <c r="I22" s="266"/>
      <c r="J22" s="278"/>
      <c r="K22" s="267"/>
      <c r="L22" s="236"/>
    </row>
    <row r="23" spans="1:12" ht="15" customHeight="1">
      <c r="A23" s="355"/>
      <c r="B23" s="355" t="s">
        <v>612</v>
      </c>
      <c r="C23" s="355"/>
      <c r="D23" s="378"/>
      <c r="E23" s="378"/>
      <c r="F23" s="378"/>
      <c r="G23" s="277"/>
      <c r="H23" s="265"/>
      <c r="I23" s="266"/>
      <c r="J23" s="278"/>
      <c r="K23" s="267"/>
      <c r="L23" s="236"/>
    </row>
    <row r="24" spans="1:12" ht="15" customHeight="1">
      <c r="A24" s="374" t="s">
        <v>788</v>
      </c>
      <c r="B24" s="375"/>
      <c r="C24" s="375"/>
      <c r="D24" s="380"/>
      <c r="E24" s="380"/>
      <c r="F24" s="378"/>
      <c r="G24" s="277"/>
      <c r="H24" s="265"/>
      <c r="I24" s="266"/>
      <c r="J24" s="278"/>
      <c r="K24" s="267"/>
      <c r="L24" s="236"/>
    </row>
    <row r="25" spans="1:11" ht="15" customHeight="1" hidden="1">
      <c r="A25" s="387"/>
      <c r="B25" s="390" t="s">
        <v>789</v>
      </c>
      <c r="C25" s="355"/>
      <c r="D25" s="389"/>
      <c r="E25" s="389">
        <v>0</v>
      </c>
      <c r="F25" s="389">
        <v>0</v>
      </c>
      <c r="G25" s="272"/>
      <c r="H25" s="273"/>
      <c r="I25" s="274"/>
      <c r="J25" s="276"/>
      <c r="K25" s="194"/>
    </row>
    <row r="26" spans="1:11" ht="15" customHeight="1" hidden="1">
      <c r="A26" s="387"/>
      <c r="B26" s="390" t="s">
        <v>790</v>
      </c>
      <c r="C26" s="355"/>
      <c r="D26" s="389"/>
      <c r="E26" s="389">
        <v>0</v>
      </c>
      <c r="F26" s="389">
        <v>0</v>
      </c>
      <c r="G26" s="272"/>
      <c r="H26" s="273"/>
      <c r="I26" s="274"/>
      <c r="J26" s="276"/>
      <c r="K26" s="194"/>
    </row>
    <row r="27" spans="1:11" ht="15" customHeight="1" hidden="1">
      <c r="A27" s="387"/>
      <c r="B27" s="390" t="s">
        <v>791</v>
      </c>
      <c r="C27" s="355"/>
      <c r="D27" s="389"/>
      <c r="E27" s="389">
        <v>0</v>
      </c>
      <c r="F27" s="389">
        <v>0</v>
      </c>
      <c r="G27" s="272"/>
      <c r="H27" s="273"/>
      <c r="I27" s="274"/>
      <c r="J27" s="276"/>
      <c r="K27" s="194"/>
    </row>
    <row r="28" spans="1:11" ht="15" customHeight="1" hidden="1">
      <c r="A28" s="387"/>
      <c r="B28" s="390" t="s">
        <v>792</v>
      </c>
      <c r="C28" s="355"/>
      <c r="D28" s="389"/>
      <c r="E28" s="389">
        <v>0</v>
      </c>
      <c r="F28" s="389">
        <v>0</v>
      </c>
      <c r="G28" s="272"/>
      <c r="H28" s="273"/>
      <c r="I28" s="274"/>
      <c r="J28" s="276"/>
      <c r="K28" s="194"/>
    </row>
    <row r="29" spans="1:11" ht="15" customHeight="1" hidden="1">
      <c r="A29" s="387"/>
      <c r="B29" s="390" t="s">
        <v>793</v>
      </c>
      <c r="C29" s="355"/>
      <c r="D29" s="389"/>
      <c r="E29" s="389">
        <v>0</v>
      </c>
      <c r="F29" s="389">
        <v>0</v>
      </c>
      <c r="G29" s="272"/>
      <c r="H29" s="273"/>
      <c r="I29" s="274"/>
      <c r="J29" s="276"/>
      <c r="K29" s="194"/>
    </row>
    <row r="30" spans="1:11" ht="15" customHeight="1" hidden="1">
      <c r="A30" s="387"/>
      <c r="B30" s="390" t="s">
        <v>781</v>
      </c>
      <c r="C30" s="355"/>
      <c r="D30" s="389"/>
      <c r="E30" s="389">
        <v>0</v>
      </c>
      <c r="F30" s="389">
        <v>0</v>
      </c>
      <c r="G30" s="272"/>
      <c r="H30" s="273"/>
      <c r="I30" s="274"/>
      <c r="J30" s="276"/>
      <c r="K30" s="194"/>
    </row>
    <row r="31" spans="1:11" ht="15" customHeight="1" hidden="1">
      <c r="A31" s="394"/>
      <c r="B31" s="391"/>
      <c r="C31" s="387"/>
      <c r="D31" s="389"/>
      <c r="E31" s="389"/>
      <c r="F31" s="389"/>
      <c r="G31" s="272"/>
      <c r="H31" s="273"/>
      <c r="I31" s="274"/>
      <c r="J31" s="276"/>
      <c r="K31" s="194"/>
    </row>
    <row r="32" spans="1:12" ht="15" customHeight="1">
      <c r="A32" s="355"/>
      <c r="B32" s="390" t="s">
        <v>794</v>
      </c>
      <c r="C32" s="355"/>
      <c r="D32" s="383">
        <v>-11621136.97</v>
      </c>
      <c r="E32" s="383">
        <v>0</v>
      </c>
      <c r="F32" s="378">
        <v>0</v>
      </c>
      <c r="G32" s="277"/>
      <c r="H32" s="265"/>
      <c r="I32" s="389"/>
      <c r="J32" s="278"/>
      <c r="K32" s="267"/>
      <c r="L32" s="236"/>
    </row>
    <row r="33" spans="1:12" ht="15" customHeight="1" hidden="1">
      <c r="A33" s="355"/>
      <c r="B33" s="390" t="s">
        <v>795</v>
      </c>
      <c r="C33" s="355"/>
      <c r="D33" s="378"/>
      <c r="E33" s="378">
        <v>0</v>
      </c>
      <c r="F33" s="378">
        <v>0</v>
      </c>
      <c r="G33" s="277"/>
      <c r="H33" s="265"/>
      <c r="I33" s="266"/>
      <c r="J33" s="278"/>
      <c r="K33" s="267"/>
      <c r="L33" s="236"/>
    </row>
    <row r="34" spans="1:11" ht="15" customHeight="1" hidden="1">
      <c r="A34" s="387"/>
      <c r="B34" s="390" t="s">
        <v>796</v>
      </c>
      <c r="C34" s="355"/>
      <c r="D34" s="389"/>
      <c r="E34" s="389">
        <v>0</v>
      </c>
      <c r="F34" s="389">
        <v>0</v>
      </c>
      <c r="G34" s="272"/>
      <c r="H34" s="273"/>
      <c r="I34" s="274"/>
      <c r="J34" s="276"/>
      <c r="K34" s="194"/>
    </row>
    <row r="35" spans="1:11" ht="15" customHeight="1" hidden="1">
      <c r="A35" s="387"/>
      <c r="B35" s="390" t="s">
        <v>797</v>
      </c>
      <c r="C35" s="355"/>
      <c r="D35" s="389"/>
      <c r="E35" s="389">
        <v>0</v>
      </c>
      <c r="F35" s="389">
        <v>0</v>
      </c>
      <c r="G35" s="272"/>
      <c r="H35" s="273"/>
      <c r="I35" s="274"/>
      <c r="J35" s="276"/>
      <c r="K35" s="194"/>
    </row>
    <row r="36" spans="1:11" ht="15" customHeight="1" hidden="1">
      <c r="A36" s="387"/>
      <c r="B36" s="390" t="s">
        <v>798</v>
      </c>
      <c r="C36" s="355"/>
      <c r="D36" s="389"/>
      <c r="E36" s="389">
        <v>0</v>
      </c>
      <c r="F36" s="389">
        <v>0</v>
      </c>
      <c r="G36" s="272"/>
      <c r="H36" s="273"/>
      <c r="I36" s="274"/>
      <c r="J36" s="276"/>
      <c r="K36" s="194"/>
    </row>
    <row r="37" spans="1:11" ht="15" customHeight="1" hidden="1">
      <c r="A37" s="387"/>
      <c r="B37" s="390" t="s">
        <v>799</v>
      </c>
      <c r="C37" s="355"/>
      <c r="D37" s="389"/>
      <c r="E37" s="389">
        <v>0</v>
      </c>
      <c r="F37" s="389">
        <v>0</v>
      </c>
      <c r="G37" s="272"/>
      <c r="H37" s="273"/>
      <c r="I37" s="274"/>
      <c r="J37" s="276"/>
      <c r="K37" s="194"/>
    </row>
    <row r="38" spans="1:11" ht="15" customHeight="1" hidden="1">
      <c r="A38" s="387"/>
      <c r="B38" s="390" t="s">
        <v>786</v>
      </c>
      <c r="C38" s="355"/>
      <c r="D38" s="389"/>
      <c r="E38" s="389">
        <v>0</v>
      </c>
      <c r="F38" s="389">
        <v>0</v>
      </c>
      <c r="G38" s="272"/>
      <c r="H38" s="281"/>
      <c r="I38" s="274"/>
      <c r="J38" s="276"/>
      <c r="K38" s="194"/>
    </row>
    <row r="39" spans="1:12" ht="15" customHeight="1">
      <c r="A39" s="374" t="s">
        <v>800</v>
      </c>
      <c r="B39" s="355"/>
      <c r="C39" s="355"/>
      <c r="D39" s="380">
        <f>SUM(D25:D38)</f>
        <v>-11621136.97</v>
      </c>
      <c r="E39" s="380">
        <f>SUM(E25:E38)</f>
        <v>0</v>
      </c>
      <c r="F39" s="380">
        <f>SUM(F25:F38)</f>
        <v>0</v>
      </c>
      <c r="G39" s="280"/>
      <c r="H39" s="265"/>
      <c r="I39" s="266"/>
      <c r="J39" s="278"/>
      <c r="K39" s="267"/>
      <c r="L39" s="236"/>
    </row>
    <row r="40" spans="1:12" ht="15" customHeight="1">
      <c r="A40" s="374"/>
      <c r="B40" s="355"/>
      <c r="C40" s="355"/>
      <c r="D40" s="378"/>
      <c r="E40" s="378"/>
      <c r="F40" s="378"/>
      <c r="G40" s="277"/>
      <c r="H40" s="265"/>
      <c r="I40" s="266"/>
      <c r="J40" s="278"/>
      <c r="K40" s="267"/>
      <c r="L40" s="236"/>
    </row>
    <row r="41" spans="1:11" ht="15" customHeight="1">
      <c r="A41" s="394" t="s">
        <v>801</v>
      </c>
      <c r="B41" s="395"/>
      <c r="C41" s="395"/>
      <c r="D41" s="380"/>
      <c r="E41" s="380"/>
      <c r="F41" s="378"/>
      <c r="G41" s="277"/>
      <c r="H41" s="265"/>
      <c r="I41" s="274"/>
      <c r="J41" s="276"/>
      <c r="K41" s="194"/>
    </row>
    <row r="42" spans="1:11" ht="15" customHeight="1" hidden="1">
      <c r="A42" s="387"/>
      <c r="B42" s="390" t="s">
        <v>802</v>
      </c>
      <c r="C42" s="355"/>
      <c r="D42" s="389"/>
      <c r="E42" s="389">
        <v>0</v>
      </c>
      <c r="F42" s="389">
        <v>0</v>
      </c>
      <c r="G42" s="272"/>
      <c r="H42" s="273"/>
      <c r="I42" s="274"/>
      <c r="J42" s="276"/>
      <c r="K42" s="194"/>
    </row>
    <row r="43" spans="1:11" ht="15" customHeight="1" hidden="1">
      <c r="A43" s="387"/>
      <c r="B43" s="390" t="s">
        <v>803</v>
      </c>
      <c r="C43" s="355"/>
      <c r="D43" s="389"/>
      <c r="E43" s="389">
        <v>0</v>
      </c>
      <c r="F43" s="389">
        <v>0</v>
      </c>
      <c r="G43" s="272"/>
      <c r="H43" s="273"/>
      <c r="I43" s="274"/>
      <c r="J43" s="278"/>
      <c r="K43" s="194"/>
    </row>
    <row r="44" spans="1:11" ht="15" customHeight="1" hidden="1">
      <c r="A44" s="387"/>
      <c r="B44" s="390" t="s">
        <v>804</v>
      </c>
      <c r="C44" s="355"/>
      <c r="D44" s="389"/>
      <c r="E44" s="389">
        <v>0</v>
      </c>
      <c r="F44" s="389">
        <v>0</v>
      </c>
      <c r="G44" s="272"/>
      <c r="H44" s="273"/>
      <c r="I44" s="274"/>
      <c r="J44" s="276"/>
      <c r="K44" s="194"/>
    </row>
    <row r="45" spans="1:11" ht="15" customHeight="1" hidden="1">
      <c r="A45" s="387"/>
      <c r="B45" s="390" t="s">
        <v>805</v>
      </c>
      <c r="C45" s="355"/>
      <c r="D45" s="389"/>
      <c r="E45" s="389">
        <v>0</v>
      </c>
      <c r="F45" s="389">
        <v>0</v>
      </c>
      <c r="G45" s="272"/>
      <c r="H45" s="273"/>
      <c r="I45" s="274"/>
      <c r="J45" s="276"/>
      <c r="K45" s="194"/>
    </row>
    <row r="46" spans="1:11" ht="15" customHeight="1">
      <c r="A46" s="387"/>
      <c r="B46" s="453" t="s">
        <v>1103</v>
      </c>
      <c r="C46" s="452"/>
      <c r="D46" s="550">
        <f>3884.28+5071.06+11456.59</f>
        <v>20411.93</v>
      </c>
      <c r="E46" s="389">
        <v>0</v>
      </c>
      <c r="F46" s="389">
        <v>0</v>
      </c>
      <c r="G46" s="272"/>
      <c r="H46" s="273"/>
      <c r="I46" s="274"/>
      <c r="J46" s="276"/>
      <c r="K46" s="194"/>
    </row>
    <row r="47" spans="1:11" ht="15" customHeight="1" hidden="1">
      <c r="A47" s="394"/>
      <c r="B47" s="391"/>
      <c r="C47" s="387"/>
      <c r="D47" s="389"/>
      <c r="E47" s="389"/>
      <c r="F47" s="389"/>
      <c r="G47" s="272"/>
      <c r="H47" s="273"/>
      <c r="I47" s="274"/>
      <c r="J47" s="276"/>
      <c r="K47" s="194"/>
    </row>
    <row r="48" spans="1:11" ht="15" customHeight="1" hidden="1">
      <c r="A48" s="387"/>
      <c r="B48" s="390" t="s">
        <v>806</v>
      </c>
      <c r="C48" s="355"/>
      <c r="D48" s="389"/>
      <c r="E48" s="389">
        <v>0</v>
      </c>
      <c r="F48" s="389">
        <v>0</v>
      </c>
      <c r="G48" s="272"/>
      <c r="H48" s="273"/>
      <c r="I48" s="274"/>
      <c r="J48" s="276"/>
      <c r="K48" s="194"/>
    </row>
    <row r="49" spans="1:11" ht="15" customHeight="1" hidden="1">
      <c r="A49" s="387"/>
      <c r="B49" s="390" t="s">
        <v>807</v>
      </c>
      <c r="C49" s="355"/>
      <c r="D49" s="389"/>
      <c r="E49" s="389">
        <v>0</v>
      </c>
      <c r="F49" s="389">
        <v>0</v>
      </c>
      <c r="G49" s="272"/>
      <c r="H49" s="273"/>
      <c r="I49" s="274"/>
      <c r="J49" s="276"/>
      <c r="K49" s="194"/>
    </row>
    <row r="50" spans="1:11" ht="15" customHeight="1" hidden="1">
      <c r="A50" s="387"/>
      <c r="B50" s="390" t="s">
        <v>808</v>
      </c>
      <c r="C50" s="355"/>
      <c r="D50" s="389"/>
      <c r="E50" s="389">
        <v>0</v>
      </c>
      <c r="F50" s="389">
        <v>0</v>
      </c>
      <c r="G50" s="272"/>
      <c r="H50" s="273"/>
      <c r="I50" s="274"/>
      <c r="J50" s="276"/>
      <c r="K50" s="194"/>
    </row>
    <row r="51" spans="1:11" ht="15" customHeight="1" hidden="1">
      <c r="A51" s="387"/>
      <c r="B51" s="390" t="s">
        <v>809</v>
      </c>
      <c r="C51" s="355"/>
      <c r="D51" s="389"/>
      <c r="E51" s="389">
        <v>0</v>
      </c>
      <c r="F51" s="389">
        <v>0</v>
      </c>
      <c r="G51" s="272"/>
      <c r="H51" s="273"/>
      <c r="I51" s="274"/>
      <c r="J51" s="276"/>
      <c r="K51" s="194"/>
    </row>
    <row r="52" spans="1:11" ht="15" customHeight="1" hidden="1">
      <c r="A52" s="387"/>
      <c r="B52" s="390" t="s">
        <v>810</v>
      </c>
      <c r="C52" s="355"/>
      <c r="D52" s="389"/>
      <c r="E52" s="389">
        <v>0</v>
      </c>
      <c r="F52" s="389">
        <v>0</v>
      </c>
      <c r="G52" s="272"/>
      <c r="H52" s="273"/>
      <c r="I52" s="274"/>
      <c r="J52" s="276"/>
      <c r="K52" s="194"/>
    </row>
    <row r="53" spans="1:11" s="514" customFormat="1" ht="15" customHeight="1" hidden="1">
      <c r="A53" s="387"/>
      <c r="B53" s="390" t="s">
        <v>1102</v>
      </c>
      <c r="C53" s="355"/>
      <c r="D53" s="389"/>
      <c r="E53" s="389"/>
      <c r="F53" s="389"/>
      <c r="G53" s="272"/>
      <c r="H53" s="273"/>
      <c r="I53" s="274"/>
      <c r="J53" s="276"/>
      <c r="K53" s="194"/>
    </row>
    <row r="54" spans="1:11" ht="15" customHeight="1">
      <c r="A54" s="250"/>
      <c r="B54" s="459" t="s">
        <v>786</v>
      </c>
      <c r="C54" s="251"/>
      <c r="D54" s="575">
        <v>-10492397</v>
      </c>
      <c r="E54" s="396">
        <v>-10025743</v>
      </c>
      <c r="F54" s="396">
        <v>-8191843</v>
      </c>
      <c r="G54" s="272"/>
      <c r="H54" s="281"/>
      <c r="I54" s="275"/>
      <c r="J54" s="276"/>
      <c r="K54" s="194"/>
    </row>
    <row r="55" spans="1:11" ht="15" customHeight="1">
      <c r="A55" s="394" t="s">
        <v>811</v>
      </c>
      <c r="B55" s="387"/>
      <c r="C55" s="387"/>
      <c r="D55" s="380">
        <f>SUM(D42:D54)</f>
        <v>-10471985.07</v>
      </c>
      <c r="E55" s="380">
        <f>SUM(E42:E54)</f>
        <v>-10025743</v>
      </c>
      <c r="F55" s="380">
        <f>SUM(F42:F54)</f>
        <v>-8191843</v>
      </c>
      <c r="G55" s="280"/>
      <c r="H55" s="273"/>
      <c r="I55" s="274"/>
      <c r="J55" s="276"/>
      <c r="K55" s="194"/>
    </row>
    <row r="56" spans="1:11" ht="15" customHeight="1">
      <c r="A56" s="394"/>
      <c r="B56" s="387"/>
      <c r="C56" s="387"/>
      <c r="D56" s="389"/>
      <c r="E56" s="389"/>
      <c r="F56" s="389"/>
      <c r="G56" s="272"/>
      <c r="H56" s="273"/>
      <c r="I56" s="275"/>
      <c r="J56" s="276"/>
      <c r="K56" s="194"/>
    </row>
    <row r="57" spans="1:12" ht="15" customHeight="1">
      <c r="A57" s="381" t="s">
        <v>812</v>
      </c>
      <c r="B57" s="355"/>
      <c r="C57" s="355"/>
      <c r="D57" s="378">
        <f>SUM(D22,D39,D55)</f>
        <v>36459120.42000002</v>
      </c>
      <c r="E57" s="378">
        <f>SUM(E22,E39,E55)</f>
        <v>87035556.07999998</v>
      </c>
      <c r="F57" s="378">
        <f>+F22+F55</f>
        <v>40126436</v>
      </c>
      <c r="G57" s="277"/>
      <c r="H57" s="265"/>
      <c r="I57" s="266"/>
      <c r="J57" s="278"/>
      <c r="K57" s="267"/>
      <c r="L57" s="236"/>
    </row>
    <row r="58" spans="1:12" ht="15" customHeight="1">
      <c r="A58" s="355" t="s">
        <v>813</v>
      </c>
      <c r="B58" s="355"/>
      <c r="C58" s="355"/>
      <c r="D58" s="383">
        <v>293326331</v>
      </c>
      <c r="E58" s="383">
        <v>206290775</v>
      </c>
      <c r="F58" s="383">
        <v>166164339</v>
      </c>
      <c r="G58" s="277"/>
      <c r="H58" s="265"/>
      <c r="I58" s="266"/>
      <c r="J58" s="282">
        <v>206290775</v>
      </c>
      <c r="K58" s="267"/>
      <c r="L58" s="236"/>
    </row>
    <row r="59" spans="1:12" ht="15" customHeight="1" thickBot="1">
      <c r="A59" s="374" t="s">
        <v>814</v>
      </c>
      <c r="B59" s="355"/>
      <c r="C59" s="355"/>
      <c r="D59" s="385">
        <f>SUM(D57:D58)</f>
        <v>329785451.42</v>
      </c>
      <c r="E59" s="385">
        <f>SUM(E57:E58)</f>
        <v>293326331.08</v>
      </c>
      <c r="F59" s="385">
        <f>SUM(F57:F58)</f>
        <v>206290775</v>
      </c>
      <c r="G59" s="280"/>
      <c r="H59" s="265"/>
      <c r="I59" s="268"/>
      <c r="J59" s="278"/>
      <c r="K59" s="267"/>
      <c r="L59" s="236"/>
    </row>
    <row r="60" spans="1:12" ht="15" customHeight="1" thickTop="1">
      <c r="A60" s="374"/>
      <c r="B60" s="355"/>
      <c r="C60" s="355"/>
      <c r="D60" s="377"/>
      <c r="E60" s="377"/>
      <c r="F60" s="377"/>
      <c r="G60" s="271"/>
      <c r="H60" s="265"/>
      <c r="I60" s="268"/>
      <c r="J60" s="278"/>
      <c r="K60" s="267"/>
      <c r="L60" s="236"/>
    </row>
    <row r="61" spans="1:12" ht="15">
      <c r="A61" s="355"/>
      <c r="B61" s="355"/>
      <c r="C61" s="355"/>
      <c r="D61" s="355"/>
      <c r="E61" s="355"/>
      <c r="F61" s="378"/>
      <c r="G61" s="277"/>
      <c r="H61" s="265"/>
      <c r="I61" s="266"/>
      <c r="J61" s="266"/>
      <c r="K61" s="267"/>
      <c r="L61" s="236"/>
    </row>
    <row r="62" spans="1:12" ht="15">
      <c r="A62" s="401" t="s">
        <v>940</v>
      </c>
      <c r="I62" s="266"/>
      <c r="J62" s="266"/>
      <c r="K62" s="267"/>
      <c r="L62" s="236"/>
    </row>
    <row r="63" spans="1:12" ht="15">
      <c r="A63" s="401" t="s">
        <v>941</v>
      </c>
      <c r="I63" s="266"/>
      <c r="J63" s="266"/>
      <c r="K63" s="267"/>
      <c r="L63" s="236"/>
    </row>
    <row r="64" spans="1:12" ht="15">
      <c r="A64" s="401" t="s">
        <v>942</v>
      </c>
      <c r="I64" s="266"/>
      <c r="J64" s="266"/>
      <c r="K64" s="267"/>
      <c r="L64" s="236"/>
    </row>
    <row r="65" spans="1:12" ht="15">
      <c r="A65" s="401" t="s">
        <v>1123</v>
      </c>
      <c r="B65" s="381"/>
      <c r="C65" s="381"/>
      <c r="D65" s="420"/>
      <c r="E65" s="381"/>
      <c r="F65" s="381"/>
      <c r="G65" s="381"/>
      <c r="H65" s="381"/>
      <c r="I65" s="266"/>
      <c r="J65" s="266"/>
      <c r="K65" s="267"/>
      <c r="L65" s="236"/>
    </row>
    <row r="66" spans="1:12" s="514" customFormat="1" ht="15">
      <c r="A66" s="401" t="s">
        <v>1124</v>
      </c>
      <c r="B66" s="454"/>
      <c r="C66" s="454"/>
      <c r="D66" s="454"/>
      <c r="E66" s="454"/>
      <c r="F66" s="454"/>
      <c r="G66" s="454"/>
      <c r="H66" s="454"/>
      <c r="I66" s="266"/>
      <c r="J66" s="266"/>
      <c r="K66" s="267"/>
      <c r="L66" s="236"/>
    </row>
    <row r="67" spans="1:12" ht="15">
      <c r="A67" s="401" t="s">
        <v>1125</v>
      </c>
      <c r="B67" s="454"/>
      <c r="C67" s="454"/>
      <c r="D67" s="454"/>
      <c r="E67" s="454"/>
      <c r="F67" s="454"/>
      <c r="G67" s="454"/>
      <c r="H67" s="454"/>
      <c r="I67" s="266"/>
      <c r="J67" s="266"/>
      <c r="K67" s="267"/>
      <c r="L67" s="236"/>
    </row>
    <row r="68" spans="1:12" s="514" customFormat="1" ht="15">
      <c r="A68" s="401"/>
      <c r="B68" s="454"/>
      <c r="C68" s="454"/>
      <c r="D68" s="454"/>
      <c r="E68" s="454"/>
      <c r="F68" s="454"/>
      <c r="G68" s="454"/>
      <c r="H68" s="454"/>
      <c r="I68" s="266"/>
      <c r="J68" s="266"/>
      <c r="K68" s="267"/>
      <c r="L68" s="236"/>
    </row>
    <row r="69" spans="1:12" ht="15">
      <c r="A69" s="617" t="s">
        <v>844</v>
      </c>
      <c r="B69" s="617"/>
      <c r="C69" s="617"/>
      <c r="D69" s="617"/>
      <c r="E69" s="617"/>
      <c r="F69" s="617"/>
      <c r="G69" s="617"/>
      <c r="H69" s="617"/>
      <c r="I69" s="266"/>
      <c r="J69" s="266"/>
      <c r="K69" s="267"/>
      <c r="L69" s="236"/>
    </row>
    <row r="70" spans="1:12" ht="15">
      <c r="A70" s="381"/>
      <c r="B70" s="381"/>
      <c r="C70" s="381"/>
      <c r="D70" s="420"/>
      <c r="E70" s="381"/>
      <c r="F70" s="381"/>
      <c r="G70" s="381"/>
      <c r="H70" s="381"/>
      <c r="I70" s="266"/>
      <c r="J70" s="266"/>
      <c r="K70" s="267"/>
      <c r="L70" s="236"/>
    </row>
    <row r="71" spans="1:12" ht="15">
      <c r="A71" s="235"/>
      <c r="B71" s="242"/>
      <c r="C71" s="242"/>
      <c r="D71" s="242"/>
      <c r="E71" s="235"/>
      <c r="F71" s="237"/>
      <c r="G71" s="283"/>
      <c r="H71" s="265"/>
      <c r="I71" s="266"/>
      <c r="J71" s="266"/>
      <c r="K71" s="267"/>
      <c r="L71" s="236"/>
    </row>
    <row r="72" spans="1:12" ht="15">
      <c r="A72" s="235"/>
      <c r="B72" s="235"/>
      <c r="C72" s="235"/>
      <c r="D72" s="235"/>
      <c r="E72" s="235"/>
      <c r="F72" s="237"/>
      <c r="G72" s="283"/>
      <c r="H72" s="265"/>
      <c r="I72" s="266"/>
      <c r="J72" s="266"/>
      <c r="K72" s="267"/>
      <c r="L72" s="236"/>
    </row>
    <row r="73" spans="1:12" ht="15">
      <c r="A73" s="235"/>
      <c r="B73" s="235"/>
      <c r="C73" s="235"/>
      <c r="D73" s="235"/>
      <c r="E73" s="237"/>
      <c r="F73" s="237"/>
      <c r="G73" s="283"/>
      <c r="H73" s="265"/>
      <c r="I73" s="266"/>
      <c r="J73" s="266"/>
      <c r="K73" s="267"/>
      <c r="L73" s="236"/>
    </row>
    <row r="74" spans="1:12" ht="15">
      <c r="A74" s="235"/>
      <c r="B74" s="235"/>
      <c r="C74" s="235"/>
      <c r="D74" s="235"/>
      <c r="E74" s="237"/>
      <c r="F74" s="284"/>
      <c r="G74" s="285"/>
      <c r="H74" s="265"/>
      <c r="I74" s="266"/>
      <c r="J74" s="266"/>
      <c r="K74" s="267"/>
      <c r="L74" s="236"/>
    </row>
    <row r="75" spans="1:12" ht="15">
      <c r="A75" s="235"/>
      <c r="B75" s="255" t="s">
        <v>815</v>
      </c>
      <c r="C75" s="235"/>
      <c r="D75" s="235"/>
      <c r="E75" s="237"/>
      <c r="F75" s="235"/>
      <c r="G75" s="265"/>
      <c r="H75" s="265"/>
      <c r="I75" s="266"/>
      <c r="J75" s="266"/>
      <c r="K75" s="267"/>
      <c r="L75" s="236"/>
    </row>
    <row r="76" spans="1:12" ht="15">
      <c r="A76" s="235"/>
      <c r="B76" s="255"/>
      <c r="C76" s="235"/>
      <c r="D76" s="235"/>
      <c r="E76" s="237"/>
      <c r="F76" s="235"/>
      <c r="G76" s="265"/>
      <c r="H76" s="265"/>
      <c r="I76" s="266"/>
      <c r="J76" s="266"/>
      <c r="K76" s="267"/>
      <c r="L76" s="236"/>
    </row>
    <row r="77" spans="1:12" ht="15">
      <c r="A77" s="2" t="s">
        <v>612</v>
      </c>
      <c r="B77" s="2"/>
      <c r="C77" s="2"/>
      <c r="D77" s="2"/>
      <c r="E77" s="2"/>
      <c r="F77" s="2"/>
      <c r="G77" s="2"/>
      <c r="H77" s="2"/>
      <c r="I77" s="2"/>
      <c r="J77" s="1"/>
      <c r="K77" s="286"/>
      <c r="L77" s="1"/>
    </row>
    <row r="78" spans="1:12" ht="15">
      <c r="A78" s="2"/>
      <c r="B78" s="2"/>
      <c r="C78" s="2"/>
      <c r="D78" s="2"/>
      <c r="E78" s="2"/>
      <c r="F78" s="2"/>
      <c r="G78" s="2"/>
      <c r="H78" s="2"/>
      <c r="I78" s="2"/>
      <c r="J78" s="1"/>
      <c r="K78" s="286"/>
      <c r="L78" s="1"/>
    </row>
    <row r="79" spans="1:12" ht="15">
      <c r="A79" s="2"/>
      <c r="B79" s="2"/>
      <c r="C79" s="2"/>
      <c r="D79" s="2"/>
      <c r="E79" s="2"/>
      <c r="F79" s="2"/>
      <c r="G79" s="2"/>
      <c r="H79" s="2"/>
      <c r="I79" s="2"/>
      <c r="J79" s="1"/>
      <c r="K79" s="286"/>
      <c r="L79" s="1"/>
    </row>
    <row r="80" spans="1:12" ht="15">
      <c r="A80" s="430"/>
      <c r="B80" s="430"/>
      <c r="C80" s="430"/>
      <c r="D80" s="430"/>
      <c r="E80" s="430"/>
      <c r="F80" s="430"/>
      <c r="G80" s="430"/>
      <c r="H80" s="430"/>
      <c r="I80" s="430"/>
      <c r="J80" s="430"/>
      <c r="K80" s="430"/>
      <c r="L80" s="430"/>
    </row>
    <row r="81" spans="1:12" ht="18.75">
      <c r="A81" s="287" t="s">
        <v>816</v>
      </c>
      <c r="B81" s="287"/>
      <c r="C81" s="287"/>
      <c r="D81" s="287" t="s">
        <v>817</v>
      </c>
      <c r="F81" s="287"/>
      <c r="G81" s="287"/>
      <c r="H81" s="287"/>
      <c r="I81" s="287"/>
      <c r="J81" s="287"/>
      <c r="K81" s="288"/>
      <c r="L81" s="287"/>
    </row>
  </sheetData>
  <sheetProtection/>
  <mergeCells count="5">
    <mergeCell ref="A1:F1"/>
    <mergeCell ref="A2:F2"/>
    <mergeCell ref="A3:F3"/>
    <mergeCell ref="A4:F4"/>
    <mergeCell ref="A69:H69"/>
  </mergeCells>
  <printOptions/>
  <pageMargins left="2.09" right="0.7086614173228347" top="0.7480314960629921" bottom="0.7480314960629921" header="0.31496062992125984" footer="0.31496062992125984"/>
  <pageSetup horizontalDpi="600" verticalDpi="600" orientation="landscape" scale="64" r:id="rId2"/>
  <ignoredErrors>
    <ignoredError sqref="F22" formulaRange="1"/>
  </ignoredErrors>
  <drawing r:id="rId1"/>
</worksheet>
</file>

<file path=xl/worksheets/sheet5.xml><?xml version="1.0" encoding="utf-8"?>
<worksheet xmlns="http://schemas.openxmlformats.org/spreadsheetml/2006/main" xmlns:r="http://schemas.openxmlformats.org/officeDocument/2006/relationships">
  <dimension ref="A1:I44"/>
  <sheetViews>
    <sheetView zoomScalePageLayoutView="0" workbookViewId="0" topLeftCell="A1">
      <selection activeCell="E20" sqref="E20"/>
    </sheetView>
  </sheetViews>
  <sheetFormatPr defaultColWidth="11.421875" defaultRowHeight="15"/>
  <cols>
    <col min="1" max="1" width="3.57421875" style="4" bestFit="1" customWidth="1"/>
    <col min="2" max="2" width="38.57421875" style="4" customWidth="1"/>
    <col min="3" max="3" width="19.57421875" style="4" customWidth="1"/>
    <col min="4" max="4" width="19.00390625" style="4" customWidth="1"/>
    <col min="5" max="5" width="22.421875" style="4" customWidth="1"/>
    <col min="6" max="6" width="17.7109375" style="4" customWidth="1"/>
    <col min="7" max="7" width="16.140625" style="4" customWidth="1"/>
    <col min="8" max="8" width="17.00390625" style="4" customWidth="1"/>
    <col min="9" max="16384" width="11.421875" style="4" customWidth="1"/>
  </cols>
  <sheetData>
    <row r="1" spans="1:8" ht="15">
      <c r="A1" s="619" t="s">
        <v>943</v>
      </c>
      <c r="B1" s="620"/>
      <c r="C1" s="620"/>
      <c r="D1" s="620"/>
      <c r="E1" s="620"/>
      <c r="F1" s="621"/>
      <c r="G1" s="259"/>
      <c r="H1" s="259"/>
    </row>
    <row r="2" spans="1:8" ht="15">
      <c r="A2" s="622" t="s">
        <v>944</v>
      </c>
      <c r="B2" s="623"/>
      <c r="C2" s="623"/>
      <c r="D2" s="623"/>
      <c r="E2" s="623"/>
      <c r="F2" s="624"/>
      <c r="G2" s="259"/>
      <c r="H2" s="259"/>
    </row>
    <row r="3" spans="1:8" ht="15">
      <c r="A3" s="622" t="s">
        <v>945</v>
      </c>
      <c r="B3" s="623"/>
      <c r="C3" s="623"/>
      <c r="D3" s="623"/>
      <c r="E3" s="623"/>
      <c r="F3" s="624"/>
      <c r="G3" s="259"/>
      <c r="H3" s="259"/>
    </row>
    <row r="4" spans="1:8" ht="15.75" thickBot="1">
      <c r="A4" s="625" t="s">
        <v>946</v>
      </c>
      <c r="B4" s="626"/>
      <c r="C4" s="626"/>
      <c r="D4" s="626"/>
      <c r="E4" s="626"/>
      <c r="F4" s="627"/>
      <c r="G4" s="260"/>
      <c r="H4" s="260"/>
    </row>
    <row r="5" spans="1:8" ht="15">
      <c r="A5" s="628"/>
      <c r="B5" s="629"/>
      <c r="C5" s="629"/>
      <c r="D5" s="629"/>
      <c r="E5" s="629"/>
      <c r="F5" s="630"/>
      <c r="G5" s="260"/>
      <c r="H5" s="260"/>
    </row>
    <row r="6" spans="1:6" ht="28.5" customHeight="1">
      <c r="A6" s="631" t="s">
        <v>947</v>
      </c>
      <c r="B6" s="632"/>
      <c r="C6" s="467" t="s">
        <v>948</v>
      </c>
      <c r="D6" s="467" t="s">
        <v>949</v>
      </c>
      <c r="E6" s="467" t="s">
        <v>950</v>
      </c>
      <c r="F6" s="468" t="s">
        <v>951</v>
      </c>
    </row>
    <row r="7" spans="1:6" ht="15">
      <c r="A7" s="469">
        <v>1</v>
      </c>
      <c r="B7" s="470" t="s">
        <v>952</v>
      </c>
      <c r="C7" s="576">
        <f>SUM(C8:C16)</f>
        <v>622091328</v>
      </c>
      <c r="D7" s="576">
        <f>SUM(D8:D16)</f>
        <v>507700657.49</v>
      </c>
      <c r="E7" s="471">
        <f>+D7/C7</f>
        <v>0.8161191687436608</v>
      </c>
      <c r="F7" s="577">
        <f>SUM(F8:F16)</f>
        <v>114390670.50999999</v>
      </c>
    </row>
    <row r="8" spans="1:6" ht="15">
      <c r="A8" s="472">
        <v>1.1</v>
      </c>
      <c r="B8" s="473" t="s">
        <v>953</v>
      </c>
      <c r="C8" s="578">
        <v>0</v>
      </c>
      <c r="D8" s="578">
        <v>0</v>
      </c>
      <c r="E8" s="474"/>
      <c r="F8" s="480">
        <f aca="true" t="shared" si="0" ref="F8:F16">+C8-D8</f>
        <v>0</v>
      </c>
    </row>
    <row r="9" spans="1:6" ht="15">
      <c r="A9" s="472">
        <v>1.2</v>
      </c>
      <c r="B9" s="473" t="s">
        <v>954</v>
      </c>
      <c r="C9" s="578">
        <v>0</v>
      </c>
      <c r="D9" s="578">
        <v>0</v>
      </c>
      <c r="E9" s="474"/>
      <c r="F9" s="480">
        <f t="shared" si="0"/>
        <v>0</v>
      </c>
    </row>
    <row r="10" spans="1:6" ht="15">
      <c r="A10" s="472">
        <v>1.3</v>
      </c>
      <c r="B10" s="473" t="s">
        <v>955</v>
      </c>
      <c r="C10" s="578">
        <v>0</v>
      </c>
      <c r="D10" s="578">
        <v>0</v>
      </c>
      <c r="E10" s="474"/>
      <c r="F10" s="480">
        <f t="shared" si="0"/>
        <v>0</v>
      </c>
    </row>
    <row r="11" spans="1:8" ht="15">
      <c r="A11" s="472">
        <v>1.4</v>
      </c>
      <c r="B11" s="473" t="s">
        <v>956</v>
      </c>
      <c r="C11" s="578">
        <v>99100260</v>
      </c>
      <c r="D11" s="578">
        <v>67677190.57</v>
      </c>
      <c r="E11" s="474">
        <f>+D11/C11</f>
        <v>0.6829163775150539</v>
      </c>
      <c r="F11" s="579">
        <f t="shared" si="0"/>
        <v>31423069.430000007</v>
      </c>
      <c r="H11" s="482"/>
    </row>
    <row r="12" spans="1:6" ht="15">
      <c r="A12" s="472">
        <v>1.5</v>
      </c>
      <c r="B12" s="473" t="s">
        <v>957</v>
      </c>
      <c r="C12" s="578">
        <v>522991068</v>
      </c>
      <c r="D12" s="578">
        <v>440023466.92</v>
      </c>
      <c r="E12" s="474">
        <f>+D12/C12</f>
        <v>0.8413594301002479</v>
      </c>
      <c r="F12" s="579">
        <f t="shared" si="0"/>
        <v>82967601.07999998</v>
      </c>
    </row>
    <row r="13" spans="1:6" ht="15">
      <c r="A13" s="472">
        <v>1.6</v>
      </c>
      <c r="B13" s="473" t="s">
        <v>958</v>
      </c>
      <c r="C13" s="578"/>
      <c r="D13" s="578">
        <v>0</v>
      </c>
      <c r="E13" s="474"/>
      <c r="F13" s="579">
        <f t="shared" si="0"/>
        <v>0</v>
      </c>
    </row>
    <row r="14" spans="1:6" ht="15">
      <c r="A14" s="472">
        <v>1.7</v>
      </c>
      <c r="B14" s="473" t="s">
        <v>959</v>
      </c>
      <c r="C14" s="578">
        <v>0</v>
      </c>
      <c r="D14" s="578">
        <v>0</v>
      </c>
      <c r="E14" s="474"/>
      <c r="F14" s="579">
        <f t="shared" si="0"/>
        <v>0</v>
      </c>
    </row>
    <row r="15" spans="1:6" ht="15">
      <c r="A15" s="472">
        <v>1.8</v>
      </c>
      <c r="B15" s="473" t="s">
        <v>960</v>
      </c>
      <c r="C15" s="578">
        <v>0</v>
      </c>
      <c r="D15" s="578">
        <v>0</v>
      </c>
      <c r="E15" s="474"/>
      <c r="F15" s="579">
        <f t="shared" si="0"/>
        <v>0</v>
      </c>
    </row>
    <row r="16" spans="1:6" ht="15">
      <c r="A16" s="472">
        <v>1.9</v>
      </c>
      <c r="B16" s="473" t="s">
        <v>961</v>
      </c>
      <c r="C16" s="578">
        <v>0</v>
      </c>
      <c r="D16" s="578">
        <v>0</v>
      </c>
      <c r="E16" s="474"/>
      <c r="F16" s="579">
        <f t="shared" si="0"/>
        <v>0</v>
      </c>
    </row>
    <row r="17" spans="1:8" ht="15">
      <c r="A17" s="469">
        <v>2</v>
      </c>
      <c r="B17" s="470" t="s">
        <v>962</v>
      </c>
      <c r="C17" s="580">
        <f>SUM(C18:C26)</f>
        <v>622091327.9999999</v>
      </c>
      <c r="D17" s="580">
        <f>SUM(D18:D26)</f>
        <v>507700657.48999995</v>
      </c>
      <c r="E17" s="471">
        <f>+D17/C17</f>
        <v>0.8161191687436609</v>
      </c>
      <c r="F17" s="577">
        <f>SUM(F18:F26)</f>
        <v>114390670.51</v>
      </c>
      <c r="H17" s="481"/>
    </row>
    <row r="18" spans="1:6" ht="15">
      <c r="A18" s="472">
        <v>2.1</v>
      </c>
      <c r="B18" s="473" t="s">
        <v>963</v>
      </c>
      <c r="C18" s="578">
        <v>462600260</v>
      </c>
      <c r="D18" s="578">
        <v>404524833.46</v>
      </c>
      <c r="E18" s="474">
        <f aca="true" t="shared" si="1" ref="E18:E24">+D18/C18</f>
        <v>0.8744587248178373</v>
      </c>
      <c r="F18" s="579">
        <f>+C18-D18</f>
        <v>58075426.54000002</v>
      </c>
    </row>
    <row r="19" spans="1:6" ht="15">
      <c r="A19" s="472">
        <v>2.2</v>
      </c>
      <c r="B19" s="473" t="s">
        <v>964</v>
      </c>
      <c r="C19" s="578">
        <v>97407677.82</v>
      </c>
      <c r="D19" s="578">
        <v>71281098.43</v>
      </c>
      <c r="E19" s="474">
        <f t="shared" si="1"/>
        <v>0.7317811082789656</v>
      </c>
      <c r="F19" s="579">
        <f aca="true" t="shared" si="2" ref="F19:F26">+C19-D19</f>
        <v>26126579.389999986</v>
      </c>
    </row>
    <row r="20" spans="1:6" ht="15">
      <c r="A20" s="472">
        <v>2.3</v>
      </c>
      <c r="B20" s="473" t="s">
        <v>965</v>
      </c>
      <c r="C20" s="578">
        <v>24869506.91</v>
      </c>
      <c r="D20" s="578">
        <v>18065476.33</v>
      </c>
      <c r="E20" s="474">
        <f t="shared" si="1"/>
        <v>0.7264107163594744</v>
      </c>
      <c r="F20" s="579">
        <f t="shared" si="2"/>
        <v>6804030.580000002</v>
      </c>
    </row>
    <row r="21" spans="1:6" ht="15">
      <c r="A21" s="472">
        <v>2.4</v>
      </c>
      <c r="B21" s="473" t="s">
        <v>966</v>
      </c>
      <c r="C21" s="578">
        <v>2800000</v>
      </c>
      <c r="D21" s="578">
        <v>1104544.56</v>
      </c>
      <c r="E21" s="474">
        <f t="shared" si="1"/>
        <v>0.3944802</v>
      </c>
      <c r="F21" s="579">
        <f t="shared" si="2"/>
        <v>1695455.44</v>
      </c>
    </row>
    <row r="22" spans="1:6" ht="15">
      <c r="A22" s="472">
        <v>2.5</v>
      </c>
      <c r="B22" s="473" t="s">
        <v>967</v>
      </c>
      <c r="C22" s="578">
        <v>0</v>
      </c>
      <c r="D22" s="578">
        <v>0</v>
      </c>
      <c r="E22" s="474"/>
      <c r="F22" s="579">
        <f t="shared" si="2"/>
        <v>0</v>
      </c>
    </row>
    <row r="23" spans="1:6" ht="15">
      <c r="A23" s="472">
        <v>2.6</v>
      </c>
      <c r="B23" s="473" t="s">
        <v>968</v>
      </c>
      <c r="C23" s="578">
        <v>19413883.27</v>
      </c>
      <c r="D23" s="578">
        <v>12724704.71</v>
      </c>
      <c r="E23" s="474">
        <f>+D23/C23</f>
        <v>0.6554435572229543</v>
      </c>
      <c r="F23" s="579">
        <f t="shared" si="2"/>
        <v>6689178.559999999</v>
      </c>
    </row>
    <row r="24" spans="1:9" ht="15">
      <c r="A24" s="472">
        <v>2.7</v>
      </c>
      <c r="B24" s="551" t="s">
        <v>969</v>
      </c>
      <c r="C24" s="581">
        <v>15000000</v>
      </c>
      <c r="D24" s="578">
        <v>0</v>
      </c>
      <c r="E24" s="474">
        <f t="shared" si="1"/>
        <v>0</v>
      </c>
      <c r="F24" s="579">
        <f t="shared" si="2"/>
        <v>15000000</v>
      </c>
      <c r="G24" s="478"/>
      <c r="I24" s="341"/>
    </row>
    <row r="25" spans="1:6" ht="30">
      <c r="A25" s="472">
        <v>2.8</v>
      </c>
      <c r="B25" s="473" t="s">
        <v>970</v>
      </c>
      <c r="C25" s="479">
        <v>0</v>
      </c>
      <c r="D25" s="578">
        <v>0</v>
      </c>
      <c r="E25" s="474"/>
      <c r="F25" s="579">
        <f t="shared" si="2"/>
        <v>0</v>
      </c>
    </row>
    <row r="26" spans="1:6" ht="15">
      <c r="A26" s="472">
        <v>2.9</v>
      </c>
      <c r="B26" s="473" t="s">
        <v>971</v>
      </c>
      <c r="C26" s="582">
        <v>0</v>
      </c>
      <c r="D26" s="578">
        <v>0</v>
      </c>
      <c r="E26" s="474"/>
      <c r="F26" s="579">
        <f t="shared" si="2"/>
        <v>0</v>
      </c>
    </row>
    <row r="27" spans="1:6" ht="16.5" thickBot="1">
      <c r="A27" s="475"/>
      <c r="B27" s="476" t="s">
        <v>972</v>
      </c>
      <c r="C27" s="583">
        <f>+C7-C17</f>
        <v>0</v>
      </c>
      <c r="D27" s="583">
        <f>+D7-D17</f>
        <v>0</v>
      </c>
      <c r="E27" s="477">
        <f>+E7-E17</f>
        <v>0</v>
      </c>
      <c r="F27" s="584">
        <f>+F7-F17</f>
        <v>0</v>
      </c>
    </row>
    <row r="28" spans="1:6" ht="15.75">
      <c r="A28" s="261"/>
      <c r="B28" s="262"/>
      <c r="C28" s="585"/>
      <c r="D28" s="585"/>
      <c r="E28" s="263"/>
      <c r="F28" s="585"/>
    </row>
    <row r="29" spans="1:6" ht="15">
      <c r="A29" s="261"/>
      <c r="B29" s="618" t="s">
        <v>1128</v>
      </c>
      <c r="C29" s="618"/>
      <c r="D29" s="618"/>
      <c r="E29" s="618"/>
      <c r="F29" s="618"/>
    </row>
    <row r="30" spans="1:6" ht="15">
      <c r="A30" s="397"/>
      <c r="B30" s="618"/>
      <c r="C30" s="618"/>
      <c r="D30" s="618"/>
      <c r="E30" s="618"/>
      <c r="F30" s="618"/>
    </row>
    <row r="34" spans="1:5" ht="15">
      <c r="A34" s="235"/>
      <c r="B34" s="235"/>
      <c r="C34" s="235"/>
      <c r="D34" s="243"/>
      <c r="E34" s="243"/>
    </row>
    <row r="35" spans="1:5" ht="15">
      <c r="A35" s="235"/>
      <c r="B35" s="235"/>
      <c r="C35" s="235"/>
      <c r="D35" s="235"/>
      <c r="E35" s="235"/>
    </row>
    <row r="36" spans="1:5" ht="15">
      <c r="A36" s="235"/>
      <c r="B36" s="235"/>
      <c r="C36" s="255" t="s">
        <v>973</v>
      </c>
      <c r="D36" s="243"/>
      <c r="E36" s="235"/>
    </row>
    <row r="37" spans="1:5" ht="15">
      <c r="A37" s="235"/>
      <c r="B37" s="235"/>
      <c r="C37" s="235"/>
      <c r="D37" s="243"/>
      <c r="E37" s="235"/>
    </row>
    <row r="38" spans="1:5" ht="15">
      <c r="A38" s="235"/>
      <c r="B38" s="235"/>
      <c r="C38" s="235"/>
      <c r="D38" s="243"/>
      <c r="E38" s="235"/>
    </row>
    <row r="39" spans="1:5" ht="15">
      <c r="A39" s="235"/>
      <c r="B39" s="235"/>
      <c r="C39" s="235"/>
      <c r="D39" s="235"/>
      <c r="E39" s="235"/>
    </row>
    <row r="40" spans="1:5" ht="18.75">
      <c r="A40" s="235"/>
      <c r="B40" s="287" t="s">
        <v>816</v>
      </c>
      <c r="C40" s="287"/>
      <c r="D40" s="287"/>
      <c r="E40" s="287" t="s">
        <v>817</v>
      </c>
    </row>
    <row r="41" spans="1:5" ht="15">
      <c r="A41" s="235"/>
      <c r="B41" s="235"/>
      <c r="C41" s="235"/>
      <c r="D41" s="235"/>
      <c r="E41" s="235"/>
    </row>
    <row r="42" spans="1:5" ht="18.75">
      <c r="A42" s="80"/>
      <c r="C42" s="235"/>
      <c r="E42" s="235"/>
    </row>
    <row r="43" spans="1:5" ht="15">
      <c r="A43" s="235"/>
      <c r="B43" s="235"/>
      <c r="C43" s="235"/>
      <c r="D43" s="235"/>
      <c r="E43" s="235"/>
    </row>
    <row r="44" spans="1:5" ht="15">
      <c r="A44" s="235"/>
      <c r="B44" s="235"/>
      <c r="C44" s="235"/>
      <c r="D44" s="235"/>
      <c r="E44" s="235"/>
    </row>
  </sheetData>
  <sheetProtection/>
  <mergeCells count="7">
    <mergeCell ref="B29:F30"/>
    <mergeCell ref="A1:F1"/>
    <mergeCell ref="A2:F2"/>
    <mergeCell ref="A3:F3"/>
    <mergeCell ref="A4:F4"/>
    <mergeCell ref="A5:F5"/>
    <mergeCell ref="A6:B6"/>
  </mergeCells>
  <printOptions/>
  <pageMargins left="0.99" right="0.7" top="0.75" bottom="0.75" header="0.3" footer="0.3"/>
  <pageSetup horizontalDpi="600" verticalDpi="600" orientation="portrait" scale="71" r:id="rId2"/>
  <drawing r:id="rId1"/>
</worksheet>
</file>

<file path=xl/worksheets/sheet6.xml><?xml version="1.0" encoding="utf-8"?>
<worksheet xmlns="http://schemas.openxmlformats.org/spreadsheetml/2006/main" xmlns:r="http://schemas.openxmlformats.org/officeDocument/2006/relationships">
  <dimension ref="A5:AO715"/>
  <sheetViews>
    <sheetView tabSelected="1" zoomScale="89" zoomScaleNormal="89" zoomScalePageLayoutView="0" workbookViewId="0" topLeftCell="A49">
      <selection activeCell="B78" sqref="B78"/>
    </sheetView>
  </sheetViews>
  <sheetFormatPr defaultColWidth="9.140625" defaultRowHeight="15"/>
  <cols>
    <col min="1" max="1" width="9.140625" style="3" customWidth="1"/>
    <col min="2" max="2" width="16.7109375" style="3" customWidth="1"/>
    <col min="3" max="3" width="3.28125" style="3" customWidth="1"/>
    <col min="4" max="4" width="2.57421875" style="3" customWidth="1"/>
    <col min="5" max="5" width="43.00390625" style="3" customWidth="1"/>
    <col min="6" max="6" width="0.71875" style="3" customWidth="1"/>
    <col min="7" max="7" width="18.421875" style="3" hidden="1" customWidth="1"/>
    <col min="8" max="8" width="23.57421875" style="3" hidden="1" customWidth="1"/>
    <col min="9" max="9" width="17.8515625" style="3" hidden="1" customWidth="1"/>
    <col min="10" max="10" width="17.7109375" style="3" hidden="1" customWidth="1"/>
    <col min="11" max="11" width="13.8515625" style="3" hidden="1" customWidth="1"/>
    <col min="12" max="12" width="14.7109375" style="3" hidden="1" customWidth="1"/>
    <col min="13" max="13" width="10.421875" style="3" hidden="1" customWidth="1"/>
    <col min="14" max="14" width="1.7109375" style="3" customWidth="1"/>
    <col min="15" max="16" width="24.421875" style="172" customWidth="1"/>
    <col min="17" max="17" width="24.421875" style="3" hidden="1" customWidth="1"/>
    <col min="18" max="18" width="23.8515625" style="3" hidden="1" customWidth="1"/>
    <col min="19" max="20" width="17.421875" style="129" hidden="1" customWidth="1"/>
    <col min="21" max="21" width="22.7109375" style="129" hidden="1" customWidth="1"/>
    <col min="22" max="22" width="21.8515625" style="129" hidden="1" customWidth="1"/>
    <col min="23" max="23" width="15.28125" style="129" hidden="1" customWidth="1"/>
    <col min="24" max="24" width="9.7109375" style="129" hidden="1" customWidth="1"/>
    <col min="25" max="25" width="21.8515625" style="129" hidden="1" customWidth="1"/>
    <col min="26" max="27" width="14.00390625" style="129" hidden="1" customWidth="1"/>
    <col min="28" max="28" width="10.7109375" style="129" hidden="1" customWidth="1"/>
    <col min="29" max="30" width="13.28125" style="129" hidden="1" customWidth="1"/>
    <col min="31" max="31" width="14.28125" style="129" hidden="1" customWidth="1"/>
    <col min="32" max="32" width="12.57421875" style="129" hidden="1" customWidth="1"/>
    <col min="33" max="36" width="0" style="3" hidden="1" customWidth="1"/>
    <col min="37" max="37" width="9.140625" style="3" customWidth="1"/>
    <col min="38" max="38" width="14.57421875" style="129" customWidth="1"/>
    <col min="39" max="39" width="17.57421875" style="344" bestFit="1" customWidth="1"/>
    <col min="40" max="40" width="19.140625" style="129" bestFit="1" customWidth="1"/>
    <col min="41" max="41" width="13.28125" style="129" bestFit="1" customWidth="1"/>
    <col min="42" max="16384" width="9.140625" style="3" customWidth="1"/>
  </cols>
  <sheetData>
    <row r="1" ht="13.5" customHeight="1"/>
    <row r="2" ht="13.5" customHeight="1"/>
    <row r="3" ht="13.5" customHeight="1"/>
    <row r="4" ht="13.5" customHeight="1"/>
    <row r="5" spans="2:12" ht="26.25">
      <c r="B5" s="111"/>
      <c r="C5" s="111"/>
      <c r="D5" s="111"/>
      <c r="E5" s="111"/>
      <c r="F5" s="111"/>
      <c r="G5" s="111"/>
      <c r="H5" s="111"/>
      <c r="I5" s="111"/>
      <c r="J5" s="111"/>
      <c r="K5" s="112"/>
      <c r="L5" s="112"/>
    </row>
    <row r="6" spans="1:19" ht="26.25">
      <c r="A6" s="616" t="s">
        <v>1099</v>
      </c>
      <c r="B6" s="616"/>
      <c r="C6" s="616"/>
      <c r="D6" s="616"/>
      <c r="E6" s="616"/>
      <c r="F6" s="616"/>
      <c r="G6" s="616"/>
      <c r="H6" s="616"/>
      <c r="I6" s="616"/>
      <c r="J6" s="616"/>
      <c r="K6" s="616"/>
      <c r="L6" s="616"/>
      <c r="M6" s="616"/>
      <c r="N6" s="616"/>
      <c r="O6" s="616"/>
      <c r="P6" s="616"/>
      <c r="Q6" s="616"/>
      <c r="R6" s="616"/>
      <c r="S6" s="616"/>
    </row>
    <row r="7" spans="1:19" ht="26.25">
      <c r="A7" s="616" t="s">
        <v>1100</v>
      </c>
      <c r="B7" s="616"/>
      <c r="C7" s="616"/>
      <c r="D7" s="616"/>
      <c r="E7" s="616"/>
      <c r="F7" s="616"/>
      <c r="G7" s="616"/>
      <c r="H7" s="616"/>
      <c r="I7" s="616"/>
      <c r="J7" s="616"/>
      <c r="K7" s="616"/>
      <c r="L7" s="616"/>
      <c r="M7" s="616"/>
      <c r="N7" s="616"/>
      <c r="O7" s="616"/>
      <c r="P7" s="616"/>
      <c r="Q7" s="616"/>
      <c r="R7" s="616"/>
      <c r="S7" s="616"/>
    </row>
    <row r="8" spans="2:10" ht="15">
      <c r="B8" s="12"/>
      <c r="C8" s="12"/>
      <c r="D8" s="12"/>
      <c r="E8" s="12"/>
      <c r="F8" s="12"/>
      <c r="G8" s="12"/>
      <c r="H8" s="12"/>
      <c r="I8" s="12"/>
      <c r="J8" s="12"/>
    </row>
    <row r="9" spans="2:10" ht="15">
      <c r="B9" s="12"/>
      <c r="C9" s="12"/>
      <c r="D9" s="12"/>
      <c r="E9" s="12"/>
      <c r="F9" s="12"/>
      <c r="G9" s="12"/>
      <c r="H9" s="12"/>
      <c r="I9" s="12"/>
      <c r="J9" s="12"/>
    </row>
    <row r="10" spans="2:17" ht="15">
      <c r="B10" s="12"/>
      <c r="C10" s="12"/>
      <c r="D10" s="12"/>
      <c r="E10" s="12"/>
      <c r="F10" s="12"/>
      <c r="G10" s="12"/>
      <c r="H10" s="12"/>
      <c r="I10" s="12"/>
      <c r="J10" s="12"/>
      <c r="O10" s="614" t="s">
        <v>660</v>
      </c>
      <c r="P10" s="614"/>
      <c r="Q10" s="225"/>
    </row>
    <row r="11" spans="2:25" ht="18.75">
      <c r="B11" s="113" t="s">
        <v>566</v>
      </c>
      <c r="C11" s="12"/>
      <c r="D11" s="12"/>
      <c r="E11" s="12"/>
      <c r="F11" s="12"/>
      <c r="G11" s="22">
        <v>2015</v>
      </c>
      <c r="H11" s="12"/>
      <c r="I11" s="12"/>
      <c r="J11" s="12"/>
      <c r="O11" s="114">
        <v>2022</v>
      </c>
      <c r="P11" s="114">
        <v>2021</v>
      </c>
      <c r="Q11" s="114">
        <v>2020</v>
      </c>
      <c r="R11" s="114">
        <v>2019</v>
      </c>
      <c r="T11" s="289">
        <v>2018</v>
      </c>
      <c r="V11" s="289">
        <v>2017</v>
      </c>
      <c r="W11" s="289"/>
      <c r="X11" s="289"/>
      <c r="Y11" s="289">
        <v>2016</v>
      </c>
    </row>
    <row r="12" spans="2:10" ht="20.25">
      <c r="B12" s="186" t="s">
        <v>85</v>
      </c>
      <c r="C12" s="12"/>
      <c r="D12" s="12"/>
      <c r="E12" s="12"/>
      <c r="F12" s="12"/>
      <c r="G12" s="12"/>
      <c r="H12" s="12"/>
      <c r="I12" s="12"/>
      <c r="J12" s="12"/>
    </row>
    <row r="13" spans="2:10" ht="15.75">
      <c r="B13" s="63" t="s">
        <v>86</v>
      </c>
      <c r="C13" s="12"/>
      <c r="D13" s="12"/>
      <c r="E13" s="12"/>
      <c r="F13" s="12"/>
      <c r="G13" s="12"/>
      <c r="H13" s="12"/>
      <c r="I13" s="12"/>
      <c r="J13" s="12"/>
    </row>
    <row r="14" spans="2:10" ht="18.75">
      <c r="B14" s="113" t="s">
        <v>87</v>
      </c>
      <c r="C14" s="12"/>
      <c r="D14" s="12"/>
      <c r="E14" s="12"/>
      <c r="F14" s="12"/>
      <c r="G14" s="12"/>
      <c r="H14" s="12"/>
      <c r="I14" s="12"/>
      <c r="J14" s="12"/>
    </row>
    <row r="15" spans="1:26" ht="15.75">
      <c r="A15" s="115"/>
      <c r="B15" s="63" t="s">
        <v>88</v>
      </c>
      <c r="C15" s="63"/>
      <c r="D15" s="63"/>
      <c r="E15" s="63"/>
      <c r="F15" s="63"/>
      <c r="G15" s="63"/>
      <c r="H15" s="64">
        <v>424792.74</v>
      </c>
      <c r="I15" s="64"/>
      <c r="J15" s="64"/>
      <c r="K15" s="116"/>
      <c r="L15" s="116"/>
      <c r="M15" s="116"/>
      <c r="N15" s="116"/>
      <c r="O15" s="117">
        <v>0</v>
      </c>
      <c r="P15" s="117">
        <v>0</v>
      </c>
      <c r="Q15" s="117">
        <v>0</v>
      </c>
      <c r="R15" s="117">
        <v>0</v>
      </c>
      <c r="S15" s="119"/>
      <c r="T15" s="119"/>
      <c r="U15" s="118">
        <v>0</v>
      </c>
      <c r="V15" s="119"/>
      <c r="W15" s="118">
        <v>782620</v>
      </c>
      <c r="X15" s="118"/>
      <c r="Y15" s="118"/>
      <c r="Z15" s="118">
        <v>204917.81</v>
      </c>
    </row>
    <row r="16" spans="2:26" ht="15.75">
      <c r="B16" s="63"/>
      <c r="C16" s="63"/>
      <c r="D16" s="63"/>
      <c r="E16" s="63"/>
      <c r="F16" s="63"/>
      <c r="G16" s="63"/>
      <c r="H16" s="64"/>
      <c r="I16" s="64"/>
      <c r="J16" s="64"/>
      <c r="K16" s="116"/>
      <c r="L16" s="116"/>
      <c r="M16" s="116"/>
      <c r="N16" s="116"/>
      <c r="O16" s="117"/>
      <c r="P16" s="117"/>
      <c r="Q16" s="117"/>
      <c r="R16" s="117"/>
      <c r="S16" s="119"/>
      <c r="T16" s="119"/>
      <c r="U16" s="119"/>
      <c r="V16" s="119"/>
      <c r="W16" s="290"/>
      <c r="X16" s="290"/>
      <c r="Y16" s="118"/>
      <c r="Z16" s="119"/>
    </row>
    <row r="17" spans="2:26" ht="15.75">
      <c r="B17" s="63" t="s">
        <v>649</v>
      </c>
      <c r="C17" s="63"/>
      <c r="D17" s="63"/>
      <c r="E17" s="63"/>
      <c r="F17" s="63"/>
      <c r="G17" s="65">
        <v>50000</v>
      </c>
      <c r="H17" s="64"/>
      <c r="I17" s="64"/>
      <c r="J17" s="64"/>
      <c r="K17" s="116"/>
      <c r="L17" s="116"/>
      <c r="M17" s="116"/>
      <c r="N17" s="116"/>
      <c r="O17" s="117">
        <v>50000</v>
      </c>
      <c r="P17" s="117">
        <v>50000</v>
      </c>
      <c r="Q17" s="117">
        <v>50000</v>
      </c>
      <c r="R17" s="117">
        <v>50000</v>
      </c>
      <c r="S17" s="119"/>
      <c r="T17" s="121">
        <v>50000</v>
      </c>
      <c r="U17" s="121">
        <v>50000</v>
      </c>
      <c r="V17" s="121">
        <v>50000</v>
      </c>
      <c r="W17" s="118"/>
      <c r="X17" s="118"/>
      <c r="Y17" s="118">
        <v>50000</v>
      </c>
      <c r="Z17" s="119"/>
    </row>
    <row r="18" spans="2:26" ht="15.75">
      <c r="B18" s="63" t="s">
        <v>650</v>
      </c>
      <c r="C18" s="63"/>
      <c r="D18" s="63"/>
      <c r="E18" s="63"/>
      <c r="F18" s="63"/>
      <c r="G18" s="65">
        <v>30000</v>
      </c>
      <c r="H18" s="64"/>
      <c r="I18" s="64"/>
      <c r="J18" s="64"/>
      <c r="K18" s="116"/>
      <c r="L18" s="116"/>
      <c r="M18" s="116"/>
      <c r="N18" s="116"/>
      <c r="O18" s="117">
        <v>30000</v>
      </c>
      <c r="P18" s="117">
        <v>30000</v>
      </c>
      <c r="Q18" s="117">
        <v>30000</v>
      </c>
      <c r="R18" s="117">
        <v>30000</v>
      </c>
      <c r="S18" s="119"/>
      <c r="T18" s="121">
        <v>30000</v>
      </c>
      <c r="U18" s="121">
        <v>30000</v>
      </c>
      <c r="V18" s="121">
        <v>30000</v>
      </c>
      <c r="W18" s="291"/>
      <c r="X18" s="291"/>
      <c r="Y18" s="292">
        <v>30000</v>
      </c>
      <c r="Z18" s="119"/>
    </row>
    <row r="19" spans="2:26" ht="15.75" hidden="1">
      <c r="B19" s="63" t="s">
        <v>89</v>
      </c>
      <c r="C19" s="63"/>
      <c r="D19" s="63"/>
      <c r="E19" s="63"/>
      <c r="F19" s="63"/>
      <c r="G19" s="65"/>
      <c r="H19" s="64"/>
      <c r="I19" s="64"/>
      <c r="J19" s="64"/>
      <c r="K19" s="116"/>
      <c r="L19" s="116"/>
      <c r="M19" s="116"/>
      <c r="N19" s="116"/>
      <c r="O19" s="117"/>
      <c r="P19" s="117"/>
      <c r="Q19" s="117"/>
      <c r="R19" s="117"/>
      <c r="S19" s="119"/>
      <c r="T19" s="121"/>
      <c r="U19" s="121"/>
      <c r="V19" s="121"/>
      <c r="W19" s="118"/>
      <c r="X19" s="118"/>
      <c r="Y19" s="118"/>
      <c r="Z19" s="119"/>
    </row>
    <row r="20" spans="2:26" ht="15.75" hidden="1">
      <c r="B20" s="63" t="s">
        <v>90</v>
      </c>
      <c r="C20" s="63"/>
      <c r="D20" s="63"/>
      <c r="E20" s="63"/>
      <c r="F20" s="63"/>
      <c r="G20" s="65"/>
      <c r="H20" s="64"/>
      <c r="I20" s="64"/>
      <c r="J20" s="64"/>
      <c r="K20" s="116"/>
      <c r="L20" s="116"/>
      <c r="M20" s="116"/>
      <c r="N20" s="116"/>
      <c r="O20" s="117"/>
      <c r="P20" s="117"/>
      <c r="Q20" s="117"/>
      <c r="R20" s="117"/>
      <c r="S20" s="119"/>
      <c r="T20" s="121"/>
      <c r="U20" s="121"/>
      <c r="V20" s="121"/>
      <c r="W20" s="118"/>
      <c r="X20" s="118"/>
      <c r="Y20" s="118"/>
      <c r="Z20" s="119"/>
    </row>
    <row r="21" spans="2:26" ht="18.75" customHeight="1">
      <c r="B21" s="63" t="s">
        <v>651</v>
      </c>
      <c r="C21" s="63"/>
      <c r="D21" s="63"/>
      <c r="E21" s="63"/>
      <c r="F21" s="63"/>
      <c r="G21" s="65">
        <v>25000</v>
      </c>
      <c r="H21" s="64"/>
      <c r="I21" s="64"/>
      <c r="J21" s="64"/>
      <c r="K21" s="116"/>
      <c r="L21" s="116"/>
      <c r="M21" s="116"/>
      <c r="N21" s="116"/>
      <c r="O21" s="117">
        <v>25000</v>
      </c>
      <c r="P21" s="117">
        <v>25000</v>
      </c>
      <c r="Q21" s="117">
        <v>25000</v>
      </c>
      <c r="R21" s="117">
        <v>25000</v>
      </c>
      <c r="S21" s="119"/>
      <c r="T21" s="121">
        <v>25000</v>
      </c>
      <c r="U21" s="121">
        <v>25000</v>
      </c>
      <c r="V21" s="121">
        <v>25000</v>
      </c>
      <c r="W21" s="118"/>
      <c r="X21" s="118"/>
      <c r="Y21" s="118">
        <v>25000</v>
      </c>
      <c r="Z21" s="119"/>
    </row>
    <row r="22" spans="2:26" ht="15.75">
      <c r="B22" s="63" t="s">
        <v>652</v>
      </c>
      <c r="C22" s="63"/>
      <c r="D22" s="63"/>
      <c r="E22" s="63"/>
      <c r="F22" s="63"/>
      <c r="G22" s="65">
        <v>50000</v>
      </c>
      <c r="H22" s="65"/>
      <c r="I22" s="65"/>
      <c r="J22" s="65"/>
      <c r="K22" s="116"/>
      <c r="L22" s="116"/>
      <c r="M22" s="116"/>
      <c r="N22" s="116"/>
      <c r="O22" s="117">
        <v>50000</v>
      </c>
      <c r="P22" s="117">
        <v>50000</v>
      </c>
      <c r="Q22" s="117">
        <v>50000</v>
      </c>
      <c r="R22" s="117">
        <v>50000</v>
      </c>
      <c r="S22" s="119"/>
      <c r="T22" s="121">
        <v>50000</v>
      </c>
      <c r="U22" s="121">
        <v>50000</v>
      </c>
      <c r="V22" s="121">
        <v>50000</v>
      </c>
      <c r="W22" s="291"/>
      <c r="X22" s="291"/>
      <c r="Y22" s="292">
        <v>50000</v>
      </c>
      <c r="Z22" s="119"/>
    </row>
    <row r="23" spans="1:26" ht="15.75">
      <c r="A23" s="172" t="s">
        <v>97</v>
      </c>
      <c r="B23" s="63" t="s">
        <v>677</v>
      </c>
      <c r="C23" s="63"/>
      <c r="D23" s="63"/>
      <c r="E23" s="63"/>
      <c r="F23" s="63"/>
      <c r="G23" s="65">
        <v>10000</v>
      </c>
      <c r="H23" s="65"/>
      <c r="I23" s="65"/>
      <c r="J23" s="65"/>
      <c r="K23" s="116"/>
      <c r="L23" s="116"/>
      <c r="M23" s="116"/>
      <c r="N23" s="116"/>
      <c r="O23" s="117">
        <v>20000</v>
      </c>
      <c r="P23" s="117">
        <v>20000</v>
      </c>
      <c r="Q23" s="117">
        <v>10000</v>
      </c>
      <c r="R23" s="117">
        <v>10000</v>
      </c>
      <c r="S23" s="119"/>
      <c r="T23" s="121">
        <v>10000</v>
      </c>
      <c r="U23" s="121">
        <v>10000</v>
      </c>
      <c r="V23" s="121">
        <v>10000</v>
      </c>
      <c r="W23" s="291"/>
      <c r="X23" s="291"/>
      <c r="Y23" s="292">
        <v>10000</v>
      </c>
      <c r="Z23" s="119"/>
    </row>
    <row r="24" spans="2:26" ht="15.75">
      <c r="B24" s="63" t="s">
        <v>676</v>
      </c>
      <c r="C24" s="63"/>
      <c r="D24" s="63"/>
      <c r="E24" s="63"/>
      <c r="F24" s="63"/>
      <c r="G24" s="65">
        <v>10000</v>
      </c>
      <c r="H24" s="65"/>
      <c r="I24" s="65"/>
      <c r="J24" s="65"/>
      <c r="K24" s="116"/>
      <c r="L24" s="116"/>
      <c r="M24" s="116"/>
      <c r="N24" s="116"/>
      <c r="O24" s="117">
        <v>10000</v>
      </c>
      <c r="P24" s="117">
        <v>10000</v>
      </c>
      <c r="Q24" s="117">
        <v>10000</v>
      </c>
      <c r="R24" s="117">
        <v>10000</v>
      </c>
      <c r="S24" s="119"/>
      <c r="T24" s="121">
        <v>10000</v>
      </c>
      <c r="U24" s="121">
        <v>10000</v>
      </c>
      <c r="V24" s="121">
        <v>10000</v>
      </c>
      <c r="W24" s="291"/>
      <c r="X24" s="291"/>
      <c r="Y24" s="292">
        <v>10000</v>
      </c>
      <c r="Z24" s="119"/>
    </row>
    <row r="25" spans="2:26" ht="15.75" hidden="1">
      <c r="B25" s="63" t="s">
        <v>91</v>
      </c>
      <c r="C25" s="63"/>
      <c r="D25" s="63"/>
      <c r="E25" s="63"/>
      <c r="F25" s="63"/>
      <c r="G25" s="65"/>
      <c r="H25" s="65"/>
      <c r="I25" s="65"/>
      <c r="J25" s="65"/>
      <c r="K25" s="116"/>
      <c r="L25" s="116"/>
      <c r="M25" s="116"/>
      <c r="N25" s="116"/>
      <c r="O25" s="117"/>
      <c r="P25" s="117"/>
      <c r="Q25" s="117"/>
      <c r="R25" s="117"/>
      <c r="S25" s="119"/>
      <c r="T25" s="121"/>
      <c r="U25" s="121"/>
      <c r="V25" s="121"/>
      <c r="W25" s="118"/>
      <c r="X25" s="118"/>
      <c r="Y25" s="118"/>
      <c r="Z25" s="119"/>
    </row>
    <row r="26" spans="2:26" ht="15.75" hidden="1">
      <c r="B26" s="63" t="s">
        <v>92</v>
      </c>
      <c r="C26" s="63"/>
      <c r="D26" s="63"/>
      <c r="E26" s="63"/>
      <c r="F26" s="63"/>
      <c r="G26" s="65"/>
      <c r="H26" s="65"/>
      <c r="I26" s="65"/>
      <c r="J26" s="65"/>
      <c r="K26" s="116"/>
      <c r="L26" s="116"/>
      <c r="M26" s="116"/>
      <c r="N26" s="116"/>
      <c r="O26" s="117"/>
      <c r="P26" s="117"/>
      <c r="Q26" s="117"/>
      <c r="R26" s="117"/>
      <c r="S26" s="119"/>
      <c r="T26" s="121"/>
      <c r="U26" s="121"/>
      <c r="V26" s="121"/>
      <c r="W26" s="118"/>
      <c r="X26" s="118"/>
      <c r="Y26" s="118"/>
      <c r="Z26" s="119"/>
    </row>
    <row r="27" spans="2:26" ht="15.75">
      <c r="B27" s="63" t="s">
        <v>93</v>
      </c>
      <c r="C27" s="63"/>
      <c r="D27" s="63"/>
      <c r="E27" s="63"/>
      <c r="F27" s="63"/>
      <c r="G27" s="65"/>
      <c r="H27" s="65"/>
      <c r="I27" s="65"/>
      <c r="J27" s="65"/>
      <c r="K27" s="116"/>
      <c r="L27" s="116"/>
      <c r="M27" s="116"/>
      <c r="N27" s="116"/>
      <c r="O27" s="117">
        <v>5000</v>
      </c>
      <c r="P27" s="117">
        <v>5000</v>
      </c>
      <c r="Q27" s="117">
        <v>5000</v>
      </c>
      <c r="R27" s="117">
        <v>5000</v>
      </c>
      <c r="S27" s="119"/>
      <c r="T27" s="121">
        <v>5000</v>
      </c>
      <c r="U27" s="121">
        <v>5000</v>
      </c>
      <c r="V27" s="121">
        <v>5000</v>
      </c>
      <c r="W27" s="118"/>
      <c r="X27" s="118"/>
      <c r="Y27" s="118">
        <v>5000</v>
      </c>
      <c r="Z27" s="119"/>
    </row>
    <row r="28" spans="2:26" ht="15.75">
      <c r="B28" s="63" t="s">
        <v>506</v>
      </c>
      <c r="C28" s="63"/>
      <c r="D28" s="63"/>
      <c r="E28" s="63"/>
      <c r="F28" s="63"/>
      <c r="G28" s="65">
        <v>50000</v>
      </c>
      <c r="H28" s="65"/>
      <c r="I28" s="65"/>
      <c r="J28" s="65"/>
      <c r="K28" s="116"/>
      <c r="L28" s="116"/>
      <c r="M28" s="116"/>
      <c r="N28" s="116"/>
      <c r="O28" s="117">
        <v>50000</v>
      </c>
      <c r="P28" s="117">
        <v>50000</v>
      </c>
      <c r="Q28" s="117">
        <v>50000</v>
      </c>
      <c r="R28" s="117">
        <v>50000</v>
      </c>
      <c r="S28" s="119"/>
      <c r="T28" s="121">
        <v>50000</v>
      </c>
      <c r="U28" s="121">
        <v>50000</v>
      </c>
      <c r="V28" s="121">
        <v>50000</v>
      </c>
      <c r="W28" s="291"/>
      <c r="X28" s="291"/>
      <c r="Y28" s="292">
        <v>50000</v>
      </c>
      <c r="Z28" s="119"/>
    </row>
    <row r="29" spans="2:26" ht="15.75">
      <c r="B29" s="63" t="s">
        <v>271</v>
      </c>
      <c r="C29" s="63"/>
      <c r="D29" s="63"/>
      <c r="E29" s="63"/>
      <c r="F29" s="63"/>
      <c r="G29" s="65"/>
      <c r="H29" s="65"/>
      <c r="I29" s="65"/>
      <c r="J29" s="65"/>
      <c r="K29" s="116"/>
      <c r="L29" s="116"/>
      <c r="M29" s="116"/>
      <c r="N29" s="116"/>
      <c r="O29" s="117">
        <v>5000</v>
      </c>
      <c r="P29" s="117">
        <v>5000</v>
      </c>
      <c r="Q29" s="117">
        <v>5000</v>
      </c>
      <c r="R29" s="117">
        <v>5000</v>
      </c>
      <c r="S29" s="119"/>
      <c r="T29" s="121">
        <v>5000</v>
      </c>
      <c r="U29" s="121">
        <v>5000</v>
      </c>
      <c r="V29" s="121">
        <v>5000</v>
      </c>
      <c r="W29" s="118"/>
      <c r="X29" s="118"/>
      <c r="Y29" s="118">
        <v>5000</v>
      </c>
      <c r="Z29" s="119"/>
    </row>
    <row r="30" spans="2:26" ht="15.75">
      <c r="B30" s="63" t="s">
        <v>653</v>
      </c>
      <c r="C30" s="63"/>
      <c r="D30" s="63"/>
      <c r="E30" s="63"/>
      <c r="F30" s="63"/>
      <c r="G30" s="65">
        <v>50000</v>
      </c>
      <c r="H30" s="65"/>
      <c r="I30" s="65"/>
      <c r="J30" s="65"/>
      <c r="K30" s="116"/>
      <c r="L30" s="116"/>
      <c r="M30" s="116"/>
      <c r="N30" s="116"/>
      <c r="O30" s="117">
        <v>50000</v>
      </c>
      <c r="P30" s="117">
        <v>50000</v>
      </c>
      <c r="Q30" s="117">
        <v>50000</v>
      </c>
      <c r="R30" s="117">
        <v>50000</v>
      </c>
      <c r="S30" s="119"/>
      <c r="T30" s="121">
        <v>50000</v>
      </c>
      <c r="U30" s="122">
        <v>50000</v>
      </c>
      <c r="V30" s="121">
        <v>50000</v>
      </c>
      <c r="W30" s="291"/>
      <c r="X30" s="291"/>
      <c r="Y30" s="292">
        <v>50000</v>
      </c>
      <c r="Z30" s="119"/>
    </row>
    <row r="31" spans="2:26" ht="15.75" hidden="1">
      <c r="B31" s="63"/>
      <c r="C31" s="63"/>
      <c r="D31" s="63"/>
      <c r="E31" s="63"/>
      <c r="F31" s="63"/>
      <c r="G31" s="65"/>
      <c r="H31" s="65"/>
      <c r="I31" s="65"/>
      <c r="J31" s="65"/>
      <c r="K31" s="116"/>
      <c r="L31" s="116"/>
      <c r="M31" s="116"/>
      <c r="N31" s="116"/>
      <c r="O31" s="117"/>
      <c r="P31" s="117"/>
      <c r="Q31" s="117"/>
      <c r="R31" s="117"/>
      <c r="S31" s="119"/>
      <c r="T31" s="121"/>
      <c r="U31" s="123"/>
      <c r="V31" s="121"/>
      <c r="W31" s="118"/>
      <c r="X31" s="118"/>
      <c r="Y31" s="118"/>
      <c r="Z31" s="119"/>
    </row>
    <row r="32" spans="2:26" ht="15.75" hidden="1">
      <c r="B32" s="63" t="s">
        <v>577</v>
      </c>
      <c r="C32" s="63"/>
      <c r="D32" s="63"/>
      <c r="E32" s="63"/>
      <c r="F32" s="63"/>
      <c r="G32" s="65"/>
      <c r="H32" s="65"/>
      <c r="I32" s="65"/>
      <c r="J32" s="65"/>
      <c r="K32" s="116"/>
      <c r="L32" s="116"/>
      <c r="M32" s="116"/>
      <c r="N32" s="116"/>
      <c r="O32" s="117"/>
      <c r="P32" s="117"/>
      <c r="Q32" s="117"/>
      <c r="R32" s="117"/>
      <c r="S32" s="119"/>
      <c r="T32" s="293">
        <v>0</v>
      </c>
      <c r="U32" s="123"/>
      <c r="V32" s="293">
        <v>0</v>
      </c>
      <c r="W32" s="118"/>
      <c r="X32" s="118"/>
      <c r="Y32" s="294">
        <v>50000</v>
      </c>
      <c r="Z32" s="119"/>
    </row>
    <row r="33" spans="2:26" ht="15.75">
      <c r="B33" s="63" t="s">
        <v>614</v>
      </c>
      <c r="C33" s="63"/>
      <c r="D33" s="63"/>
      <c r="E33" s="63"/>
      <c r="F33" s="63"/>
      <c r="G33" s="65"/>
      <c r="H33" s="65"/>
      <c r="I33" s="65"/>
      <c r="J33" s="65"/>
      <c r="K33" s="116"/>
      <c r="L33" s="116"/>
      <c r="M33" s="116"/>
      <c r="N33" s="116"/>
      <c r="O33" s="117">
        <v>3000</v>
      </c>
      <c r="P33" s="117">
        <v>3000</v>
      </c>
      <c r="Q33" s="117">
        <v>3000</v>
      </c>
      <c r="R33" s="117">
        <v>3000</v>
      </c>
      <c r="S33" s="119"/>
      <c r="T33" s="122"/>
      <c r="U33" s="123"/>
      <c r="V33" s="122"/>
      <c r="W33" s="118"/>
      <c r="X33" s="118"/>
      <c r="Y33" s="294"/>
      <c r="Z33" s="119"/>
    </row>
    <row r="34" spans="2:26" ht="15.75">
      <c r="B34" s="63" t="s">
        <v>615</v>
      </c>
      <c r="C34" s="63"/>
      <c r="D34" s="63"/>
      <c r="E34" s="63"/>
      <c r="F34" s="63"/>
      <c r="G34" s="65"/>
      <c r="H34" s="65"/>
      <c r="I34" s="65"/>
      <c r="J34" s="65"/>
      <c r="K34" s="116"/>
      <c r="L34" s="116"/>
      <c r="M34" s="116"/>
      <c r="N34" s="116"/>
      <c r="O34" s="124">
        <v>20000</v>
      </c>
      <c r="P34" s="124">
        <v>20000</v>
      </c>
      <c r="Q34" s="124">
        <v>20000</v>
      </c>
      <c r="R34" s="124">
        <v>20000</v>
      </c>
      <c r="S34" s="119"/>
      <c r="T34" s="122"/>
      <c r="U34" s="123"/>
      <c r="V34" s="122"/>
      <c r="W34" s="118"/>
      <c r="X34" s="118"/>
      <c r="Y34" s="294"/>
      <c r="Z34" s="119"/>
    </row>
    <row r="35" spans="2:26" ht="16.5" hidden="1" thickBot="1">
      <c r="B35" s="63" t="s">
        <v>94</v>
      </c>
      <c r="C35" s="63"/>
      <c r="D35" s="63"/>
      <c r="E35" s="63"/>
      <c r="F35" s="63"/>
      <c r="G35" s="65"/>
      <c r="H35" s="66">
        <f>SUM(G17:G31)</f>
        <v>275000</v>
      </c>
      <c r="I35" s="65"/>
      <c r="J35" s="65"/>
      <c r="K35" s="116"/>
      <c r="L35" s="116"/>
      <c r="M35" s="116"/>
      <c r="N35" s="116"/>
      <c r="O35" s="132"/>
      <c r="P35" s="124"/>
      <c r="Q35" s="124"/>
      <c r="R35" s="124"/>
      <c r="S35" s="119"/>
      <c r="T35" s="295"/>
      <c r="U35" s="126">
        <f>SUM(T17:T30)</f>
        <v>285000</v>
      </c>
      <c r="V35" s="119"/>
      <c r="W35" s="294">
        <f>SUM(V17:V31)</f>
        <v>285000</v>
      </c>
      <c r="X35" s="294"/>
      <c r="Y35" s="294"/>
      <c r="Z35" s="296">
        <f>SUM(Y17:Y32)</f>
        <v>335000</v>
      </c>
    </row>
    <row r="36" spans="2:26" ht="18.75">
      <c r="B36" s="113" t="s">
        <v>95</v>
      </c>
      <c r="C36" s="63"/>
      <c r="D36" s="63"/>
      <c r="E36" s="63"/>
      <c r="F36" s="63"/>
      <c r="G36" s="64"/>
      <c r="H36" s="72">
        <f>+H15+H35</f>
        <v>699792.74</v>
      </c>
      <c r="I36" s="72"/>
      <c r="J36" s="72"/>
      <c r="K36" s="116"/>
      <c r="L36" s="116"/>
      <c r="M36" s="116"/>
      <c r="N36" s="116"/>
      <c r="O36" s="127">
        <f>SUM(O15:O34)</f>
        <v>318000</v>
      </c>
      <c r="P36" s="127">
        <f>SUM(P14:P35)</f>
        <v>318000</v>
      </c>
      <c r="Q36" s="127">
        <f>SUM(Q14:Q35)</f>
        <v>308000</v>
      </c>
      <c r="R36" s="127">
        <f>SUM(R14:R35)</f>
        <v>308000</v>
      </c>
      <c r="S36" s="119"/>
      <c r="T36" s="128">
        <f>SUM(T17:T30)</f>
        <v>285000</v>
      </c>
      <c r="U36" s="128">
        <f>+U15+U35</f>
        <v>285000</v>
      </c>
      <c r="V36" s="119"/>
      <c r="W36" s="128">
        <f>+W15+W35</f>
        <v>1067620</v>
      </c>
      <c r="X36" s="128"/>
      <c r="Y36" s="118"/>
      <c r="Z36" s="128">
        <f>SUM(Z15:Z35)</f>
        <v>539917.81</v>
      </c>
    </row>
    <row r="37" spans="2:26" ht="15.75">
      <c r="B37" s="25"/>
      <c r="C37" s="12"/>
      <c r="D37" s="12"/>
      <c r="E37" s="12"/>
      <c r="F37" s="12"/>
      <c r="G37" s="6"/>
      <c r="H37" s="10"/>
      <c r="I37" s="10"/>
      <c r="J37" s="10"/>
      <c r="W37" s="297"/>
      <c r="X37" s="297"/>
      <c r="Y37" s="298"/>
      <c r="Z37" s="299"/>
    </row>
    <row r="38" spans="1:25" ht="18.75">
      <c r="A38" s="172" t="s">
        <v>97</v>
      </c>
      <c r="B38" s="135" t="s">
        <v>694</v>
      </c>
      <c r="C38" s="12"/>
      <c r="D38" s="12"/>
      <c r="E38" s="12"/>
      <c r="F38" s="12"/>
      <c r="G38" s="6"/>
      <c r="H38" s="6"/>
      <c r="I38" s="6"/>
      <c r="J38" s="6"/>
      <c r="Y38" s="298"/>
    </row>
    <row r="39" spans="2:25" ht="18.75">
      <c r="B39" s="135" t="s">
        <v>695</v>
      </c>
      <c r="C39" s="12"/>
      <c r="D39" s="12"/>
      <c r="E39" s="12"/>
      <c r="F39" s="12"/>
      <c r="G39" s="6"/>
      <c r="H39" s="6"/>
      <c r="I39" s="6"/>
      <c r="J39" s="6"/>
      <c r="Y39" s="298"/>
    </row>
    <row r="40" spans="2:25" ht="15.75">
      <c r="B40" s="25"/>
      <c r="C40" s="12"/>
      <c r="D40" s="12"/>
      <c r="E40" s="12"/>
      <c r="F40" s="12"/>
      <c r="G40" s="6"/>
      <c r="H40" s="6"/>
      <c r="I40" s="6"/>
      <c r="J40" s="6"/>
      <c r="Y40" s="298"/>
    </row>
    <row r="41" spans="2:25" ht="15.75">
      <c r="B41" s="25"/>
      <c r="C41" s="12"/>
      <c r="D41" s="12"/>
      <c r="E41" s="12"/>
      <c r="F41" s="12"/>
      <c r="G41" s="6"/>
      <c r="H41" s="6"/>
      <c r="I41" s="6"/>
      <c r="J41" s="6"/>
      <c r="O41" s="614" t="s">
        <v>660</v>
      </c>
      <c r="P41" s="614"/>
      <c r="Q41" s="225"/>
      <c r="Y41" s="298"/>
    </row>
    <row r="42" spans="2:27" ht="18.75">
      <c r="B42" s="114" t="s">
        <v>505</v>
      </c>
      <c r="C42" s="114"/>
      <c r="D42" s="114"/>
      <c r="E42" s="114"/>
      <c r="F42" s="114"/>
      <c r="G42" s="130"/>
      <c r="H42" s="130"/>
      <c r="I42" s="130" t="s">
        <v>482</v>
      </c>
      <c r="J42" s="130" t="s">
        <v>483</v>
      </c>
      <c r="K42" s="131"/>
      <c r="L42" s="131"/>
      <c r="M42" s="131"/>
      <c r="N42" s="131"/>
      <c r="O42" s="114">
        <v>2022</v>
      </c>
      <c r="P42" s="114">
        <v>2021</v>
      </c>
      <c r="Q42" s="114">
        <v>2020</v>
      </c>
      <c r="R42" s="114">
        <v>2019</v>
      </c>
      <c r="S42" s="300" t="s">
        <v>590</v>
      </c>
      <c r="T42" s="289">
        <v>2018</v>
      </c>
      <c r="U42" s="300" t="s">
        <v>590</v>
      </c>
      <c r="V42" s="289">
        <v>2017</v>
      </c>
      <c r="W42" s="300" t="s">
        <v>482</v>
      </c>
      <c r="X42" s="300" t="s">
        <v>483</v>
      </c>
      <c r="Y42" s="289">
        <v>2016</v>
      </c>
      <c r="Z42" s="300" t="s">
        <v>482</v>
      </c>
      <c r="AA42" s="300" t="s">
        <v>483</v>
      </c>
    </row>
    <row r="43" spans="2:25" ht="15" hidden="1">
      <c r="B43" s="12" t="s">
        <v>96</v>
      </c>
      <c r="C43" s="12"/>
      <c r="D43" s="12"/>
      <c r="E43" s="12"/>
      <c r="F43" s="12"/>
      <c r="G43" s="6"/>
      <c r="H43" s="6"/>
      <c r="I43" s="6"/>
      <c r="J43" s="6"/>
      <c r="Y43" s="298"/>
    </row>
    <row r="44" spans="2:27" ht="15" hidden="1">
      <c r="B44" s="12" t="s">
        <v>98</v>
      </c>
      <c r="C44" s="12"/>
      <c r="D44" s="12"/>
      <c r="E44" s="12"/>
      <c r="F44" s="12"/>
      <c r="G44" s="6"/>
      <c r="H44" s="6">
        <v>54474.94</v>
      </c>
      <c r="I44" s="6"/>
      <c r="J44" s="6"/>
      <c r="Y44" s="298">
        <v>0</v>
      </c>
      <c r="Z44" s="299"/>
      <c r="AA44" s="299"/>
    </row>
    <row r="45" spans="2:27" ht="15" hidden="1">
      <c r="B45" s="12" t="s">
        <v>99</v>
      </c>
      <c r="C45" s="12"/>
      <c r="D45" s="12"/>
      <c r="E45" s="12"/>
      <c r="F45" s="12"/>
      <c r="G45" s="6"/>
      <c r="H45" s="6"/>
      <c r="I45" s="6"/>
      <c r="J45" s="6"/>
      <c r="Y45" s="298"/>
      <c r="Z45" s="299"/>
      <c r="AA45" s="299"/>
    </row>
    <row r="46" spans="1:28" ht="15.75">
      <c r="A46" s="172" t="s">
        <v>109</v>
      </c>
      <c r="B46" s="63" t="s">
        <v>552</v>
      </c>
      <c r="C46" s="63"/>
      <c r="D46" s="63"/>
      <c r="E46" s="63"/>
      <c r="F46" s="63"/>
      <c r="G46" s="64"/>
      <c r="H46" s="65">
        <v>67492.22</v>
      </c>
      <c r="I46" s="65">
        <v>1525.7</v>
      </c>
      <c r="J46" s="65"/>
      <c r="K46" s="520"/>
      <c r="L46" s="520"/>
      <c r="M46" s="520"/>
      <c r="N46" s="520"/>
      <c r="O46" s="534">
        <v>0</v>
      </c>
      <c r="P46" s="417">
        <v>-2180.66</v>
      </c>
      <c r="Q46" s="78">
        <v>28111.9</v>
      </c>
      <c r="R46" s="226">
        <v>-1533.53</v>
      </c>
      <c r="S46" s="121">
        <v>0</v>
      </c>
      <c r="T46" s="118">
        <v>-299.8</v>
      </c>
      <c r="U46" s="118"/>
      <c r="V46" s="118">
        <v>363123.44</v>
      </c>
      <c r="W46" s="118">
        <v>7468.05</v>
      </c>
      <c r="X46" s="119"/>
      <c r="Y46" s="118">
        <v>-530.37</v>
      </c>
      <c r="Z46" s="301"/>
      <c r="AA46" s="301"/>
      <c r="AB46" s="119"/>
    </row>
    <row r="47" spans="1:39" ht="15.75">
      <c r="A47" s="3" t="s">
        <v>97</v>
      </c>
      <c r="B47" s="63" t="s">
        <v>553</v>
      </c>
      <c r="C47" s="63"/>
      <c r="D47" s="63"/>
      <c r="E47" s="63"/>
      <c r="F47" s="63"/>
      <c r="G47" s="64"/>
      <c r="H47" s="65">
        <v>59632.4</v>
      </c>
      <c r="I47" s="65">
        <v>1357.3</v>
      </c>
      <c r="J47" s="65"/>
      <c r="K47" s="116"/>
      <c r="L47" s="116"/>
      <c r="M47" s="116"/>
      <c r="N47" s="116"/>
      <c r="O47" s="417">
        <v>1674774.98</v>
      </c>
      <c r="P47" s="417">
        <v>2033052.92</v>
      </c>
      <c r="Q47" s="78">
        <v>2147207.92</v>
      </c>
      <c r="R47" s="78">
        <v>2735709.7</v>
      </c>
      <c r="S47" s="118" t="s">
        <v>618</v>
      </c>
      <c r="T47" s="118">
        <v>654411.15</v>
      </c>
      <c r="U47" s="118" t="s">
        <v>591</v>
      </c>
      <c r="V47" s="118">
        <v>490936.39</v>
      </c>
      <c r="W47" s="118">
        <v>10425.57</v>
      </c>
      <c r="X47" s="119"/>
      <c r="Y47" s="118">
        <v>-1394.07</v>
      </c>
      <c r="Z47" s="301"/>
      <c r="AA47" s="301"/>
      <c r="AB47" s="119"/>
      <c r="AM47" s="549">
        <f>+O53+O58</f>
        <v>2602427</v>
      </c>
    </row>
    <row r="48" spans="1:28" ht="15.75" hidden="1">
      <c r="A48" s="3" t="s">
        <v>97</v>
      </c>
      <c r="B48" s="63" t="s">
        <v>481</v>
      </c>
      <c r="C48" s="63"/>
      <c r="D48" s="63"/>
      <c r="E48" s="63"/>
      <c r="F48" s="63"/>
      <c r="G48" s="64"/>
      <c r="H48" s="65"/>
      <c r="I48" s="65"/>
      <c r="J48" s="65"/>
      <c r="K48" s="116"/>
      <c r="L48" s="116"/>
      <c r="M48" s="116"/>
      <c r="N48" s="116"/>
      <c r="O48" s="417"/>
      <c r="P48" s="417"/>
      <c r="Q48" s="78"/>
      <c r="R48" s="78"/>
      <c r="S48" s="119"/>
      <c r="T48" s="118"/>
      <c r="U48" s="118"/>
      <c r="V48" s="118"/>
      <c r="W48" s="118"/>
      <c r="X48" s="119"/>
      <c r="Y48" s="118"/>
      <c r="Z48" s="301"/>
      <c r="AA48" s="301"/>
      <c r="AB48" s="119"/>
    </row>
    <row r="49" spans="1:28" ht="15.75">
      <c r="A49" s="3" t="s">
        <v>97</v>
      </c>
      <c r="B49" s="63" t="s">
        <v>554</v>
      </c>
      <c r="C49" s="63"/>
      <c r="D49" s="63"/>
      <c r="E49" s="63"/>
      <c r="F49" s="63"/>
      <c r="G49" s="64"/>
      <c r="H49" s="65"/>
      <c r="I49" s="65"/>
      <c r="J49" s="65"/>
      <c r="K49" s="116"/>
      <c r="L49" s="116"/>
      <c r="M49" s="116"/>
      <c r="N49" s="116"/>
      <c r="O49" s="417">
        <v>1330352.89</v>
      </c>
      <c r="P49" s="417">
        <v>1352978.15</v>
      </c>
      <c r="Q49" s="78">
        <v>1231658.97</v>
      </c>
      <c r="R49" s="78">
        <v>1121927.14</v>
      </c>
      <c r="S49" s="118" t="s">
        <v>593</v>
      </c>
      <c r="T49" s="118">
        <v>1121927.14</v>
      </c>
      <c r="U49" s="118" t="s">
        <v>593</v>
      </c>
      <c r="V49" s="118">
        <v>1085214.06</v>
      </c>
      <c r="W49" s="118">
        <v>23281.81</v>
      </c>
      <c r="X49" s="119"/>
      <c r="Y49" s="118">
        <v>-32.74</v>
      </c>
      <c r="Z49" s="301"/>
      <c r="AA49" s="301"/>
      <c r="AB49" s="119"/>
    </row>
    <row r="50" spans="1:28" ht="15.75" hidden="1">
      <c r="A50" s="3" t="s">
        <v>97</v>
      </c>
      <c r="B50" s="63" t="s">
        <v>555</v>
      </c>
      <c r="C50" s="63"/>
      <c r="D50" s="63"/>
      <c r="E50" s="63"/>
      <c r="F50" s="63"/>
      <c r="G50" s="64"/>
      <c r="H50" s="65">
        <v>-3560</v>
      </c>
      <c r="I50" s="65"/>
      <c r="J50" s="65">
        <v>0</v>
      </c>
      <c r="K50" s="116"/>
      <c r="L50" s="116"/>
      <c r="M50" s="116"/>
      <c r="N50" s="116"/>
      <c r="O50" s="417"/>
      <c r="P50" s="417"/>
      <c r="Q50" s="78"/>
      <c r="R50" s="78"/>
      <c r="S50" s="119"/>
      <c r="T50" s="118"/>
      <c r="U50" s="118"/>
      <c r="V50" s="118">
        <v>0</v>
      </c>
      <c r="W50" s="118"/>
      <c r="X50" s="119"/>
      <c r="Y50" s="118">
        <v>87578.23</v>
      </c>
      <c r="Z50" s="301"/>
      <c r="AA50" s="301"/>
      <c r="AB50" s="119"/>
    </row>
    <row r="51" spans="2:28" ht="15.75">
      <c r="B51" s="63" t="s">
        <v>556</v>
      </c>
      <c r="C51" s="63"/>
      <c r="D51" s="63"/>
      <c r="E51" s="63"/>
      <c r="F51" s="63"/>
      <c r="G51" s="64"/>
      <c r="H51" s="65"/>
      <c r="I51" s="65"/>
      <c r="J51" s="65"/>
      <c r="K51" s="520"/>
      <c r="L51" s="520"/>
      <c r="M51" s="520"/>
      <c r="N51" s="520"/>
      <c r="O51" s="534">
        <v>0</v>
      </c>
      <c r="P51" s="417">
        <v>0</v>
      </c>
      <c r="Q51" s="78">
        <v>3001.61</v>
      </c>
      <c r="R51" s="78">
        <v>111742.48</v>
      </c>
      <c r="S51" s="118" t="s">
        <v>616</v>
      </c>
      <c r="T51" s="118">
        <v>303134.59</v>
      </c>
      <c r="U51" s="118" t="s">
        <v>592</v>
      </c>
      <c r="V51" s="118">
        <v>-916</v>
      </c>
      <c r="W51" s="118"/>
      <c r="X51" s="119"/>
      <c r="Y51" s="118"/>
      <c r="Z51" s="301"/>
      <c r="AA51" s="301"/>
      <c r="AB51" s="119"/>
    </row>
    <row r="52" spans="1:28" ht="15.75">
      <c r="A52" s="3" t="s">
        <v>109</v>
      </c>
      <c r="B52" s="63" t="s">
        <v>557</v>
      </c>
      <c r="C52" s="63"/>
      <c r="D52" s="63"/>
      <c r="E52" s="63"/>
      <c r="F52" s="63"/>
      <c r="G52" s="64"/>
      <c r="H52" s="65">
        <v>459498</v>
      </c>
      <c r="I52" s="65"/>
      <c r="J52" s="65">
        <v>10000</v>
      </c>
      <c r="K52" s="520"/>
      <c r="L52" s="520"/>
      <c r="M52" s="520"/>
      <c r="N52" s="520"/>
      <c r="O52" s="534">
        <v>0</v>
      </c>
      <c r="P52" s="417">
        <v>-6471.67</v>
      </c>
      <c r="Q52" s="230">
        <v>-7759.46</v>
      </c>
      <c r="R52" s="78">
        <v>175769.02</v>
      </c>
      <c r="S52" s="118" t="s">
        <v>617</v>
      </c>
      <c r="T52" s="118">
        <v>-6073.65</v>
      </c>
      <c r="U52" s="118"/>
      <c r="V52" s="118">
        <v>229364</v>
      </c>
      <c r="W52" s="118"/>
      <c r="X52" s="118">
        <v>5000</v>
      </c>
      <c r="Y52" s="118">
        <v>496795</v>
      </c>
      <c r="Z52" s="301"/>
      <c r="AA52" s="292">
        <v>10000</v>
      </c>
      <c r="AB52" s="119"/>
    </row>
    <row r="53" spans="2:28" ht="15.75">
      <c r="B53" s="63" t="s">
        <v>662</v>
      </c>
      <c r="C53" s="63"/>
      <c r="D53" s="63"/>
      <c r="E53" s="63"/>
      <c r="F53" s="63"/>
      <c r="G53" s="64"/>
      <c r="H53" s="65">
        <v>724682.25</v>
      </c>
      <c r="I53" s="65"/>
      <c r="J53" s="65"/>
      <c r="K53" s="116"/>
      <c r="L53" s="116"/>
      <c r="M53" s="116"/>
      <c r="N53" s="116"/>
      <c r="O53" s="417">
        <v>2261842.66</v>
      </c>
      <c r="P53" s="417">
        <v>790574.03</v>
      </c>
      <c r="Q53" s="78">
        <v>2674501.3</v>
      </c>
      <c r="R53" s="78">
        <v>86375.3</v>
      </c>
      <c r="S53" s="119"/>
      <c r="T53" s="118">
        <v>2307394.91</v>
      </c>
      <c r="U53" s="118"/>
      <c r="V53" s="118">
        <v>1942922.28</v>
      </c>
      <c r="W53" s="118"/>
      <c r="X53" s="119"/>
      <c r="Y53" s="118">
        <v>2344150.68</v>
      </c>
      <c r="Z53" s="301"/>
      <c r="AA53" s="301"/>
      <c r="AB53" s="119"/>
    </row>
    <row r="54" spans="2:28" ht="15.75">
      <c r="B54" s="63" t="s">
        <v>558</v>
      </c>
      <c r="C54" s="63"/>
      <c r="D54" s="63"/>
      <c r="E54" s="63"/>
      <c r="F54" s="63"/>
      <c r="G54" s="64"/>
      <c r="H54" s="65">
        <v>14510353.45</v>
      </c>
      <c r="I54" s="65"/>
      <c r="J54" s="65"/>
      <c r="K54" s="116"/>
      <c r="L54" s="116"/>
      <c r="M54" s="116"/>
      <c r="N54" s="116"/>
      <c r="O54" s="417">
        <v>300186821.37</v>
      </c>
      <c r="P54" s="417">
        <v>244081058.19</v>
      </c>
      <c r="Q54" s="78">
        <v>161908190.77</v>
      </c>
      <c r="R54" s="78">
        <v>110382899.44</v>
      </c>
      <c r="S54" s="119"/>
      <c r="T54" s="118">
        <v>93285419.53</v>
      </c>
      <c r="U54" s="118"/>
      <c r="V54" s="118">
        <v>65885646.8</v>
      </c>
      <c r="W54" s="118"/>
      <c r="X54" s="119"/>
      <c r="Y54" s="118">
        <v>22441484.52</v>
      </c>
      <c r="Z54" s="301"/>
      <c r="AA54" s="301"/>
      <c r="AB54" s="119"/>
    </row>
    <row r="55" spans="2:28" ht="15.75">
      <c r="B55" s="63" t="s">
        <v>559</v>
      </c>
      <c r="C55" s="63"/>
      <c r="D55" s="63"/>
      <c r="E55" s="63"/>
      <c r="F55" s="63"/>
      <c r="G55" s="64"/>
      <c r="H55" s="65">
        <v>0</v>
      </c>
      <c r="I55" s="65"/>
      <c r="J55" s="65"/>
      <c r="K55" s="116"/>
      <c r="L55" s="116"/>
      <c r="M55" s="116"/>
      <c r="N55" s="116"/>
      <c r="O55" s="417">
        <v>20935209.38</v>
      </c>
      <c r="P55" s="417">
        <v>40647042.02</v>
      </c>
      <c r="Q55" s="78">
        <v>36208564.47</v>
      </c>
      <c r="R55" s="78">
        <v>28839361.37</v>
      </c>
      <c r="S55" s="119"/>
      <c r="T55" s="118">
        <v>19651874.8</v>
      </c>
      <c r="U55" s="118"/>
      <c r="V55" s="118">
        <v>4785071.08</v>
      </c>
      <c r="W55" s="118"/>
      <c r="X55" s="119"/>
      <c r="Y55" s="118">
        <v>3406690.11</v>
      </c>
      <c r="Z55" s="301"/>
      <c r="AA55" s="301"/>
      <c r="AB55" s="119"/>
    </row>
    <row r="56" spans="2:28" ht="15.75">
      <c r="B56" s="63" t="s">
        <v>560</v>
      </c>
      <c r="C56" s="63"/>
      <c r="D56" s="63"/>
      <c r="E56" s="63"/>
      <c r="F56" s="63"/>
      <c r="G56" s="64"/>
      <c r="H56" s="65">
        <v>3893121.87</v>
      </c>
      <c r="I56" s="65"/>
      <c r="J56" s="65"/>
      <c r="K56" s="116"/>
      <c r="L56" s="116"/>
      <c r="M56" s="116"/>
      <c r="N56" s="116"/>
      <c r="O56" s="417">
        <v>497791.37</v>
      </c>
      <c r="P56" s="417">
        <v>933604.5</v>
      </c>
      <c r="Q56" s="78">
        <v>30555.55</v>
      </c>
      <c r="R56" s="78">
        <v>14687985.94</v>
      </c>
      <c r="S56" s="119"/>
      <c r="T56" s="118">
        <v>9698457.32</v>
      </c>
      <c r="U56" s="118"/>
      <c r="V56" s="118">
        <v>12217.5</v>
      </c>
      <c r="W56" s="118"/>
      <c r="X56" s="119"/>
      <c r="Y56" s="118">
        <v>0</v>
      </c>
      <c r="Z56" s="301"/>
      <c r="AA56" s="301"/>
      <c r="AB56" s="119"/>
    </row>
    <row r="57" spans="2:28" ht="15.75">
      <c r="B57" s="63" t="s">
        <v>561</v>
      </c>
      <c r="C57" s="63"/>
      <c r="D57" s="63"/>
      <c r="E57" s="63"/>
      <c r="F57" s="63"/>
      <c r="G57" s="64"/>
      <c r="H57" s="65">
        <v>5262515.01</v>
      </c>
      <c r="I57" s="65"/>
      <c r="J57" s="65"/>
      <c r="K57" s="116"/>
      <c r="L57" s="116"/>
      <c r="M57" s="116"/>
      <c r="N57" s="116"/>
      <c r="O57" s="417">
        <v>2209956.81</v>
      </c>
      <c r="P57" s="417">
        <v>3045717.86</v>
      </c>
      <c r="Q57" s="78">
        <v>1528073.8</v>
      </c>
      <c r="R57" s="78">
        <v>7711664.33</v>
      </c>
      <c r="S57" s="119"/>
      <c r="T57" s="118">
        <v>9549222.1</v>
      </c>
      <c r="U57" s="118"/>
      <c r="V57" s="118">
        <v>8984513.56</v>
      </c>
      <c r="W57" s="118"/>
      <c r="X57" s="119"/>
      <c r="Y57" s="118">
        <v>7153126.81</v>
      </c>
      <c r="Z57" s="301"/>
      <c r="AA57" s="301"/>
      <c r="AB57" s="119"/>
    </row>
    <row r="58" spans="2:28" ht="15.75">
      <c r="B58" s="63" t="s">
        <v>661</v>
      </c>
      <c r="C58" s="63"/>
      <c r="D58" s="63"/>
      <c r="E58" s="63"/>
      <c r="F58" s="63"/>
      <c r="G58" s="64"/>
      <c r="H58" s="65"/>
      <c r="I58" s="65"/>
      <c r="J58" s="65"/>
      <c r="K58" s="506"/>
      <c r="L58" s="506"/>
      <c r="M58" s="506"/>
      <c r="N58" s="506"/>
      <c r="O58" s="507">
        <v>340584.34</v>
      </c>
      <c r="P58" s="418">
        <v>115395.41</v>
      </c>
      <c r="Q58" s="91">
        <v>220467.38</v>
      </c>
      <c r="R58" s="91">
        <v>4437.69</v>
      </c>
      <c r="S58" s="119"/>
      <c r="T58" s="118"/>
      <c r="U58" s="118"/>
      <c r="V58" s="118"/>
      <c r="W58" s="118"/>
      <c r="X58" s="119"/>
      <c r="Y58" s="118"/>
      <c r="Z58" s="301"/>
      <c r="AA58" s="301"/>
      <c r="AB58" s="119"/>
    </row>
    <row r="59" spans="1:28" ht="15.75">
      <c r="A59" s="172" t="s">
        <v>188</v>
      </c>
      <c r="B59" s="63" t="s">
        <v>682</v>
      </c>
      <c r="O59" s="419">
        <v>30117</v>
      </c>
      <c r="P59" s="419">
        <v>17560</v>
      </c>
      <c r="Q59" s="88">
        <v>10200</v>
      </c>
      <c r="R59" s="88">
        <v>0</v>
      </c>
      <c r="S59" s="119"/>
      <c r="T59" s="294">
        <v>20926.94</v>
      </c>
      <c r="U59" s="118"/>
      <c r="V59" s="294">
        <v>124771.09</v>
      </c>
      <c r="W59" s="294"/>
      <c r="X59" s="295"/>
      <c r="Y59" s="294">
        <v>5381.46</v>
      </c>
      <c r="Z59" s="301"/>
      <c r="AA59" s="301"/>
      <c r="AB59" s="119"/>
    </row>
    <row r="60" spans="2:28" ht="18.75">
      <c r="B60" s="113" t="s">
        <v>100</v>
      </c>
      <c r="C60" s="63"/>
      <c r="D60" s="63"/>
      <c r="E60" s="63"/>
      <c r="F60" s="63"/>
      <c r="G60" s="64"/>
      <c r="H60" s="76">
        <f>SUM(H43:H58)</f>
        <v>25028210.14</v>
      </c>
      <c r="I60" s="76"/>
      <c r="J60" s="76"/>
      <c r="K60" s="132"/>
      <c r="L60" s="116"/>
      <c r="M60" s="116"/>
      <c r="N60" s="116"/>
      <c r="O60" s="127">
        <f>SUM(O46:O59)</f>
        <v>329467450.79999995</v>
      </c>
      <c r="P60" s="127">
        <f>SUM(P46:P59)</f>
        <v>293008330.75000006</v>
      </c>
      <c r="Q60" s="127">
        <f>SUM(Q46:Q59)</f>
        <v>205982774.21000004</v>
      </c>
      <c r="R60" s="127">
        <f>SUM(R46:R59)</f>
        <v>165856338.88</v>
      </c>
      <c r="S60" s="119"/>
      <c r="T60" s="128">
        <f>SUM(T46:T59)</f>
        <v>136586395.03</v>
      </c>
      <c r="U60" s="119"/>
      <c r="V60" s="128">
        <f>SUM(V46:V59)</f>
        <v>83902864.2</v>
      </c>
      <c r="W60" s="128">
        <f>SUM(W46:W59)</f>
        <v>41175.43</v>
      </c>
      <c r="X60" s="128">
        <f>SUM(X46:X59)</f>
        <v>5000</v>
      </c>
      <c r="Y60" s="128">
        <f>SUM(Y46:Y59)</f>
        <v>35933249.63</v>
      </c>
      <c r="Z60" s="301"/>
      <c r="AA60" s="301"/>
      <c r="AB60" s="119"/>
    </row>
    <row r="61" spans="2:28" ht="15.75">
      <c r="B61" s="63"/>
      <c r="C61" s="63"/>
      <c r="D61" s="63"/>
      <c r="E61" s="507"/>
      <c r="F61" s="63"/>
      <c r="G61" s="64"/>
      <c r="H61" s="67"/>
      <c r="I61" s="133"/>
      <c r="J61" s="133"/>
      <c r="K61" s="116"/>
      <c r="L61" s="116"/>
      <c r="M61" s="116"/>
      <c r="N61" s="116"/>
      <c r="O61" s="230"/>
      <c r="P61" s="132"/>
      <c r="Q61" s="125"/>
      <c r="R61" s="125"/>
      <c r="S61" s="119"/>
      <c r="T61" s="295"/>
      <c r="U61" s="119"/>
      <c r="V61" s="295"/>
      <c r="W61" s="119"/>
      <c r="X61" s="119"/>
      <c r="Y61" s="302"/>
      <c r="Z61" s="301"/>
      <c r="AA61" s="301"/>
      <c r="AB61" s="119"/>
    </row>
    <row r="62" spans="2:28" ht="21" thickBot="1">
      <c r="B62" s="186" t="s">
        <v>101</v>
      </c>
      <c r="C62" s="63"/>
      <c r="D62" s="63"/>
      <c r="E62" s="63"/>
      <c r="F62" s="63"/>
      <c r="G62" s="64"/>
      <c r="H62" s="134">
        <f>+H36+H60</f>
        <v>25728002.88</v>
      </c>
      <c r="I62" s="76"/>
      <c r="J62" s="76"/>
      <c r="K62" s="116"/>
      <c r="L62" s="116"/>
      <c r="M62" s="116"/>
      <c r="N62" s="116"/>
      <c r="O62" s="175">
        <f>+O36+O60</f>
        <v>329785450.79999995</v>
      </c>
      <c r="P62" s="175">
        <f>+P36+P60</f>
        <v>293326330.75000006</v>
      </c>
      <c r="Q62" s="175">
        <f>+Q36+Q60</f>
        <v>206290774.21000004</v>
      </c>
      <c r="R62" s="175">
        <f>+R36+R60</f>
        <v>166164338.88</v>
      </c>
      <c r="S62" s="119"/>
      <c r="T62" s="303">
        <f>+T60+U36</f>
        <v>136871395.03</v>
      </c>
      <c r="U62" s="119"/>
      <c r="V62" s="304">
        <f>+V60+W36</f>
        <v>84970484.2</v>
      </c>
      <c r="W62" s="119"/>
      <c r="X62" s="119"/>
      <c r="Y62" s="304">
        <f>+Z36+Y60</f>
        <v>36473167.440000005</v>
      </c>
      <c r="Z62" s="301"/>
      <c r="AA62" s="301"/>
      <c r="AB62" s="119"/>
    </row>
    <row r="63" spans="2:28" ht="16.5" thickTop="1">
      <c r="B63" s="63"/>
      <c r="C63" s="63"/>
      <c r="D63" s="63"/>
      <c r="E63" s="63"/>
      <c r="F63" s="63"/>
      <c r="G63" s="64"/>
      <c r="H63" s="64"/>
      <c r="I63" s="64"/>
      <c r="J63" s="64"/>
      <c r="K63" s="116"/>
      <c r="L63" s="116"/>
      <c r="M63" s="116"/>
      <c r="N63" s="116"/>
      <c r="O63" s="132"/>
      <c r="P63" s="132"/>
      <c r="Q63" s="116"/>
      <c r="R63" s="116"/>
      <c r="S63" s="119"/>
      <c r="T63" s="119"/>
      <c r="U63" s="119"/>
      <c r="V63" s="119"/>
      <c r="W63" s="119"/>
      <c r="X63" s="119"/>
      <c r="Y63" s="118"/>
      <c r="Z63" s="301"/>
      <c r="AA63" s="301"/>
      <c r="AB63" s="119"/>
    </row>
    <row r="64" spans="1:27" ht="17.25" thickBot="1">
      <c r="A64" s="3" t="s">
        <v>97</v>
      </c>
      <c r="B64" s="176" t="s">
        <v>663</v>
      </c>
      <c r="C64" s="177"/>
      <c r="D64" s="177"/>
      <c r="E64" s="177"/>
      <c r="F64" s="178"/>
      <c r="G64" s="179"/>
      <c r="H64" s="179"/>
      <c r="I64" s="179"/>
      <c r="J64" s="179"/>
      <c r="K64" s="180"/>
      <c r="L64" s="180"/>
      <c r="M64" s="180"/>
      <c r="N64" s="180"/>
      <c r="O64" s="180"/>
      <c r="P64" s="180"/>
      <c r="Q64" s="180"/>
      <c r="R64" s="175"/>
      <c r="Y64" s="298"/>
      <c r="Z64" s="299"/>
      <c r="AA64" s="299"/>
    </row>
    <row r="65" spans="2:28" ht="17.25" thickTop="1">
      <c r="B65" s="176" t="s">
        <v>664</v>
      </c>
      <c r="C65" s="181"/>
      <c r="D65" s="181"/>
      <c r="E65" s="181"/>
      <c r="F65" s="182"/>
      <c r="G65" s="183"/>
      <c r="H65" s="183"/>
      <c r="I65" s="183"/>
      <c r="J65" s="183"/>
      <c r="K65" s="184"/>
      <c r="L65" s="184"/>
      <c r="M65" s="184"/>
      <c r="N65" s="184"/>
      <c r="O65" s="184"/>
      <c r="P65" s="184"/>
      <c r="Q65" s="184"/>
      <c r="R65" s="184"/>
      <c r="S65" s="119"/>
      <c r="T65" s="119"/>
      <c r="U65" s="119"/>
      <c r="V65" s="119"/>
      <c r="W65" s="119"/>
      <c r="X65" s="119"/>
      <c r="Y65" s="118"/>
      <c r="Z65" s="301"/>
      <c r="AA65" s="301"/>
      <c r="AB65" s="119"/>
    </row>
    <row r="66" spans="2:28" ht="16.5">
      <c r="B66" s="176" t="s">
        <v>887</v>
      </c>
      <c r="C66" s="181"/>
      <c r="D66" s="181"/>
      <c r="E66" s="181"/>
      <c r="F66" s="182"/>
      <c r="G66" s="183"/>
      <c r="H66" s="183"/>
      <c r="I66" s="183"/>
      <c r="J66" s="183"/>
      <c r="K66" s="184"/>
      <c r="L66" s="184"/>
      <c r="M66" s="184"/>
      <c r="N66" s="184"/>
      <c r="O66" s="184"/>
      <c r="P66" s="184"/>
      <c r="Q66" s="184"/>
      <c r="R66" s="184"/>
      <c r="S66" s="119"/>
      <c r="T66" s="119"/>
      <c r="U66" s="119"/>
      <c r="V66" s="119"/>
      <c r="W66" s="119"/>
      <c r="X66" s="119"/>
      <c r="Y66" s="118"/>
      <c r="Z66" s="301"/>
      <c r="AA66" s="301"/>
      <c r="AB66" s="119"/>
    </row>
    <row r="67" spans="2:28" ht="16.5">
      <c r="B67" s="176" t="s">
        <v>888</v>
      </c>
      <c r="C67" s="181"/>
      <c r="D67" s="181"/>
      <c r="E67" s="181"/>
      <c r="F67" s="182"/>
      <c r="G67" s="183"/>
      <c r="H67" s="183"/>
      <c r="I67" s="183"/>
      <c r="J67" s="183"/>
      <c r="K67" s="184"/>
      <c r="L67" s="184"/>
      <c r="M67" s="184"/>
      <c r="N67" s="184"/>
      <c r="O67" s="184"/>
      <c r="P67" s="184"/>
      <c r="Q67" s="184"/>
      <c r="R67" s="184"/>
      <c r="S67" s="119"/>
      <c r="T67" s="119"/>
      <c r="U67" s="119"/>
      <c r="V67" s="119"/>
      <c r="W67" s="119"/>
      <c r="X67" s="119"/>
      <c r="Y67" s="118"/>
      <c r="Z67" s="301"/>
      <c r="AA67" s="301"/>
      <c r="AB67" s="119"/>
    </row>
    <row r="68" spans="2:28" ht="16.5">
      <c r="B68" s="176"/>
      <c r="C68" s="181"/>
      <c r="D68" s="181"/>
      <c r="E68" s="181"/>
      <c r="F68" s="182"/>
      <c r="G68" s="183"/>
      <c r="H68" s="183"/>
      <c r="I68" s="183"/>
      <c r="J68" s="183"/>
      <c r="K68" s="184"/>
      <c r="L68" s="184"/>
      <c r="M68" s="184"/>
      <c r="N68" s="184"/>
      <c r="O68" s="184"/>
      <c r="P68" s="184"/>
      <c r="Q68" s="184"/>
      <c r="R68" s="184"/>
      <c r="S68" s="119"/>
      <c r="T68" s="119"/>
      <c r="U68" s="119"/>
      <c r="V68" s="119"/>
      <c r="W68" s="119"/>
      <c r="X68" s="119"/>
      <c r="Y68" s="118"/>
      <c r="Z68" s="301"/>
      <c r="AA68" s="301"/>
      <c r="AB68" s="119"/>
    </row>
    <row r="69" spans="1:25" ht="16.5">
      <c r="A69" s="3" t="s">
        <v>109</v>
      </c>
      <c r="B69" s="176" t="s">
        <v>665</v>
      </c>
      <c r="C69" s="176"/>
      <c r="D69" s="176"/>
      <c r="E69" s="176"/>
      <c r="F69" s="185"/>
      <c r="G69" s="185"/>
      <c r="H69" s="185"/>
      <c r="I69" s="185"/>
      <c r="J69" s="185"/>
      <c r="K69" s="185"/>
      <c r="L69" s="185"/>
      <c r="M69" s="185"/>
      <c r="N69" s="185"/>
      <c r="O69" s="185"/>
      <c r="P69" s="185"/>
      <c r="Q69" s="185"/>
      <c r="R69" s="185"/>
      <c r="S69" s="305"/>
      <c r="T69" s="305"/>
      <c r="U69" s="305"/>
      <c r="Y69" s="298"/>
    </row>
    <row r="70" spans="2:25" ht="16.5">
      <c r="B70" s="176" t="s">
        <v>889</v>
      </c>
      <c r="C70" s="176"/>
      <c r="D70" s="176"/>
      <c r="E70" s="176"/>
      <c r="F70" s="185"/>
      <c r="G70" s="185"/>
      <c r="H70" s="185"/>
      <c r="I70" s="185"/>
      <c r="J70" s="185"/>
      <c r="K70" s="185"/>
      <c r="L70" s="185"/>
      <c r="M70" s="185"/>
      <c r="N70" s="185"/>
      <c r="O70" s="185"/>
      <c r="P70" s="185"/>
      <c r="Q70" s="185"/>
      <c r="R70" s="185"/>
      <c r="S70" s="305"/>
      <c r="T70" s="305"/>
      <c r="U70" s="305"/>
      <c r="Y70" s="298"/>
    </row>
    <row r="71" spans="2:25" ht="16.5">
      <c r="B71" s="176" t="s">
        <v>894</v>
      </c>
      <c r="C71" s="176"/>
      <c r="D71" s="176"/>
      <c r="E71" s="176"/>
      <c r="F71" s="185"/>
      <c r="G71" s="185"/>
      <c r="H71" s="185"/>
      <c r="I71" s="185"/>
      <c r="J71" s="185"/>
      <c r="K71" s="185"/>
      <c r="L71" s="185"/>
      <c r="M71" s="185"/>
      <c r="N71" s="185"/>
      <c r="O71" s="185"/>
      <c r="P71" s="185"/>
      <c r="Q71" s="185"/>
      <c r="R71" s="185"/>
      <c r="S71" s="305"/>
      <c r="T71" s="305"/>
      <c r="U71" s="305"/>
      <c r="Y71" s="298"/>
    </row>
    <row r="72" spans="2:25" ht="16.5">
      <c r="B72" s="176" t="s">
        <v>1096</v>
      </c>
      <c r="C72" s="176"/>
      <c r="D72" s="176"/>
      <c r="E72" s="176"/>
      <c r="F72" s="185"/>
      <c r="G72" s="185"/>
      <c r="H72" s="185"/>
      <c r="I72" s="185"/>
      <c r="J72" s="185"/>
      <c r="K72" s="185"/>
      <c r="L72" s="185"/>
      <c r="M72" s="185"/>
      <c r="N72" s="185"/>
      <c r="O72" s="185"/>
      <c r="P72" s="185"/>
      <c r="Q72" s="185"/>
      <c r="R72" s="185"/>
      <c r="S72" s="305"/>
      <c r="T72" s="305"/>
      <c r="U72" s="305"/>
      <c r="Y72" s="298"/>
    </row>
    <row r="73" spans="2:25" ht="16.5">
      <c r="B73" s="176" t="s">
        <v>1144</v>
      </c>
      <c r="C73" s="177"/>
      <c r="D73" s="177"/>
      <c r="E73" s="177"/>
      <c r="F73" s="178"/>
      <c r="G73" s="179"/>
      <c r="H73" s="179"/>
      <c r="I73" s="179"/>
      <c r="J73" s="179"/>
      <c r="K73" s="180"/>
      <c r="L73" s="180"/>
      <c r="M73" s="180"/>
      <c r="N73" s="180"/>
      <c r="O73" s="180"/>
      <c r="P73" s="180"/>
      <c r="Q73" s="180"/>
      <c r="R73" s="180"/>
      <c r="Y73" s="298"/>
    </row>
    <row r="74" spans="2:25" ht="16.5">
      <c r="B74" s="176"/>
      <c r="C74" s="177"/>
      <c r="D74" s="177"/>
      <c r="E74" s="177"/>
      <c r="F74" s="178"/>
      <c r="G74" s="179"/>
      <c r="H74" s="179"/>
      <c r="I74" s="179"/>
      <c r="J74" s="179"/>
      <c r="K74" s="180"/>
      <c r="L74" s="180"/>
      <c r="M74" s="180"/>
      <c r="N74" s="180"/>
      <c r="O74" s="180"/>
      <c r="P74" s="180"/>
      <c r="Q74" s="180"/>
      <c r="R74" s="180"/>
      <c r="Y74" s="298"/>
    </row>
    <row r="75" spans="1:41" s="172" customFormat="1" ht="16.5">
      <c r="A75" s="172" t="s">
        <v>109</v>
      </c>
      <c r="B75" s="176" t="s">
        <v>890</v>
      </c>
      <c r="C75" s="177"/>
      <c r="D75" s="177"/>
      <c r="E75" s="177"/>
      <c r="F75" s="178"/>
      <c r="G75" s="179"/>
      <c r="H75" s="179"/>
      <c r="I75" s="179"/>
      <c r="J75" s="179"/>
      <c r="K75" s="180"/>
      <c r="L75" s="180"/>
      <c r="M75" s="180"/>
      <c r="N75" s="180"/>
      <c r="O75" s="180"/>
      <c r="P75" s="180"/>
      <c r="Q75" s="180"/>
      <c r="R75" s="180"/>
      <c r="S75" s="129"/>
      <c r="T75" s="129"/>
      <c r="U75" s="129"/>
      <c r="V75" s="129"/>
      <c r="W75" s="129"/>
      <c r="X75" s="129"/>
      <c r="Y75" s="298"/>
      <c r="Z75" s="129"/>
      <c r="AA75" s="129"/>
      <c r="AB75" s="129"/>
      <c r="AC75" s="129"/>
      <c r="AD75" s="129"/>
      <c r="AE75" s="129"/>
      <c r="AF75" s="129"/>
      <c r="AL75" s="129"/>
      <c r="AM75" s="344"/>
      <c r="AN75" s="129"/>
      <c r="AO75" s="129"/>
    </row>
    <row r="76" spans="2:41" s="172" customFormat="1" ht="16.5">
      <c r="B76" s="176" t="s">
        <v>891</v>
      </c>
      <c r="C76" s="177"/>
      <c r="D76" s="177"/>
      <c r="E76" s="177"/>
      <c r="F76" s="178"/>
      <c r="G76" s="179"/>
      <c r="H76" s="179"/>
      <c r="I76" s="179"/>
      <c r="J76" s="179"/>
      <c r="K76" s="180"/>
      <c r="L76" s="180"/>
      <c r="M76" s="180"/>
      <c r="N76" s="180"/>
      <c r="O76" s="180"/>
      <c r="P76" s="180"/>
      <c r="Q76" s="180"/>
      <c r="R76" s="180"/>
      <c r="S76" s="129"/>
      <c r="T76" s="129"/>
      <c r="U76" s="129"/>
      <c r="V76" s="129"/>
      <c r="W76" s="129"/>
      <c r="X76" s="129"/>
      <c r="Y76" s="298"/>
      <c r="Z76" s="129"/>
      <c r="AA76" s="129"/>
      <c r="AB76" s="129"/>
      <c r="AC76" s="129"/>
      <c r="AD76" s="129"/>
      <c r="AE76" s="129"/>
      <c r="AF76" s="129"/>
      <c r="AL76" s="129"/>
      <c r="AM76" s="344"/>
      <c r="AN76" s="129"/>
      <c r="AO76" s="129"/>
    </row>
    <row r="77" spans="2:41" s="172" customFormat="1" ht="16.5">
      <c r="B77" s="176" t="s">
        <v>892</v>
      </c>
      <c r="C77" s="177"/>
      <c r="D77" s="177"/>
      <c r="E77" s="177"/>
      <c r="F77" s="178"/>
      <c r="G77" s="179"/>
      <c r="H77" s="179"/>
      <c r="I77" s="179"/>
      <c r="J77" s="179"/>
      <c r="K77" s="180"/>
      <c r="L77" s="180"/>
      <c r="M77" s="180"/>
      <c r="N77" s="180"/>
      <c r="O77" s="180"/>
      <c r="P77" s="180"/>
      <c r="Q77" s="180"/>
      <c r="R77" s="180"/>
      <c r="S77" s="129"/>
      <c r="T77" s="129"/>
      <c r="U77" s="129"/>
      <c r="V77" s="129"/>
      <c r="W77" s="129"/>
      <c r="X77" s="129"/>
      <c r="Y77" s="298"/>
      <c r="Z77" s="129"/>
      <c r="AA77" s="129"/>
      <c r="AB77" s="129"/>
      <c r="AC77" s="129"/>
      <c r="AD77" s="129"/>
      <c r="AE77" s="129"/>
      <c r="AF77" s="129"/>
      <c r="AL77" s="129"/>
      <c r="AM77" s="344"/>
      <c r="AN77" s="129"/>
      <c r="AO77" s="129"/>
    </row>
    <row r="78" spans="2:41" s="172" customFormat="1" ht="16.5">
      <c r="B78" s="176" t="s">
        <v>1145</v>
      </c>
      <c r="C78" s="177"/>
      <c r="D78" s="177"/>
      <c r="E78" s="177"/>
      <c r="F78" s="178"/>
      <c r="G78" s="179"/>
      <c r="H78" s="179"/>
      <c r="I78" s="179"/>
      <c r="J78" s="179"/>
      <c r="K78" s="180"/>
      <c r="L78" s="180"/>
      <c r="M78" s="180"/>
      <c r="N78" s="180"/>
      <c r="O78" s="180"/>
      <c r="P78" s="180"/>
      <c r="Q78" s="180"/>
      <c r="R78" s="180"/>
      <c r="S78" s="129"/>
      <c r="T78" s="129"/>
      <c r="U78" s="129"/>
      <c r="V78" s="129"/>
      <c r="W78" s="129"/>
      <c r="X78" s="129"/>
      <c r="Y78" s="298"/>
      <c r="Z78" s="129"/>
      <c r="AA78" s="129"/>
      <c r="AB78" s="129"/>
      <c r="AC78" s="129"/>
      <c r="AD78" s="129"/>
      <c r="AE78" s="129"/>
      <c r="AF78" s="129"/>
      <c r="AL78" s="129"/>
      <c r="AM78" s="344"/>
      <c r="AN78" s="129"/>
      <c r="AO78" s="129"/>
    </row>
    <row r="79" spans="2:41" s="172" customFormat="1" ht="16.5">
      <c r="B79" s="176"/>
      <c r="C79" s="177"/>
      <c r="D79" s="177"/>
      <c r="E79" s="177"/>
      <c r="F79" s="178"/>
      <c r="G79" s="179"/>
      <c r="H79" s="179"/>
      <c r="I79" s="179"/>
      <c r="J79" s="179"/>
      <c r="K79" s="180"/>
      <c r="L79" s="180"/>
      <c r="M79" s="180"/>
      <c r="N79" s="180"/>
      <c r="O79" s="180"/>
      <c r="P79" s="180"/>
      <c r="Q79" s="180"/>
      <c r="R79" s="180"/>
      <c r="S79" s="129"/>
      <c r="T79" s="129"/>
      <c r="U79" s="129"/>
      <c r="V79" s="129"/>
      <c r="W79" s="129"/>
      <c r="X79" s="129"/>
      <c r="Y79" s="298"/>
      <c r="Z79" s="129"/>
      <c r="AA79" s="129"/>
      <c r="AB79" s="129"/>
      <c r="AC79" s="129"/>
      <c r="AD79" s="129"/>
      <c r="AE79" s="129"/>
      <c r="AF79" s="129"/>
      <c r="AL79" s="129"/>
      <c r="AM79" s="344"/>
      <c r="AN79" s="129"/>
      <c r="AO79" s="129"/>
    </row>
    <row r="80" spans="1:25" ht="16.5">
      <c r="A80" s="172" t="s">
        <v>109</v>
      </c>
      <c r="B80" s="176" t="s">
        <v>893</v>
      </c>
      <c r="C80" s="176"/>
      <c r="D80" s="176"/>
      <c r="E80" s="176"/>
      <c r="F80" s="185"/>
      <c r="G80" s="185"/>
      <c r="H80" s="185"/>
      <c r="I80" s="185"/>
      <c r="J80" s="185"/>
      <c r="K80" s="185"/>
      <c r="L80" s="185"/>
      <c r="M80" s="185"/>
      <c r="N80" s="185"/>
      <c r="O80" s="185"/>
      <c r="P80" s="185"/>
      <c r="Q80" s="185"/>
      <c r="R80" s="185"/>
      <c r="Y80" s="298"/>
    </row>
    <row r="81" spans="2:25" ht="16.5">
      <c r="B81" s="176" t="s">
        <v>895</v>
      </c>
      <c r="C81" s="176"/>
      <c r="D81" s="176"/>
      <c r="E81" s="176"/>
      <c r="F81" s="185"/>
      <c r="G81" s="185"/>
      <c r="H81" s="185"/>
      <c r="I81" s="185"/>
      <c r="J81" s="185"/>
      <c r="K81" s="185"/>
      <c r="L81" s="185"/>
      <c r="M81" s="185"/>
      <c r="N81" s="185"/>
      <c r="O81" s="185"/>
      <c r="P81" s="185"/>
      <c r="Q81" s="185"/>
      <c r="R81" s="185"/>
      <c r="Y81" s="298"/>
    </row>
    <row r="82" spans="2:25" ht="15" customHeight="1">
      <c r="B82" s="176" t="s">
        <v>896</v>
      </c>
      <c r="C82" s="176"/>
      <c r="D82" s="176"/>
      <c r="E82" s="176"/>
      <c r="F82" s="185"/>
      <c r="G82" s="185"/>
      <c r="H82" s="185"/>
      <c r="I82" s="185"/>
      <c r="J82" s="185"/>
      <c r="K82" s="185"/>
      <c r="L82" s="185"/>
      <c r="M82" s="185"/>
      <c r="N82" s="185"/>
      <c r="O82" s="185"/>
      <c r="P82" s="185"/>
      <c r="Q82" s="185"/>
      <c r="R82" s="185"/>
      <c r="Y82" s="298"/>
    </row>
    <row r="83" spans="2:25" ht="15" customHeight="1">
      <c r="B83" s="176" t="s">
        <v>1146</v>
      </c>
      <c r="C83" s="177"/>
      <c r="D83" s="177"/>
      <c r="E83" s="177"/>
      <c r="F83" s="178"/>
      <c r="G83" s="179"/>
      <c r="H83" s="179"/>
      <c r="I83" s="179"/>
      <c r="J83" s="179"/>
      <c r="K83" s="180"/>
      <c r="L83" s="180"/>
      <c r="M83" s="180"/>
      <c r="N83" s="180"/>
      <c r="O83" s="180"/>
      <c r="P83" s="180"/>
      <c r="Q83" s="180"/>
      <c r="R83" s="180"/>
      <c r="Y83" s="298"/>
    </row>
    <row r="84" spans="1:25" ht="16.5">
      <c r="A84" s="172"/>
      <c r="B84" s="75"/>
      <c r="C84" s="12"/>
      <c r="D84" s="12"/>
      <c r="E84" s="12"/>
      <c r="F84" s="12"/>
      <c r="G84" s="6"/>
      <c r="H84" s="6"/>
      <c r="I84" s="6"/>
      <c r="J84" s="6"/>
      <c r="Y84" s="298"/>
    </row>
    <row r="85" spans="1:25" ht="16.5">
      <c r="A85" s="172" t="s">
        <v>188</v>
      </c>
      <c r="B85" s="176" t="s">
        <v>1131</v>
      </c>
      <c r="C85" s="12"/>
      <c r="D85" s="12"/>
      <c r="E85" s="12"/>
      <c r="F85" s="12"/>
      <c r="G85" s="6"/>
      <c r="H85" s="6"/>
      <c r="I85" s="6"/>
      <c r="J85" s="6"/>
      <c r="Y85" s="298"/>
    </row>
    <row r="86" spans="2:41" s="172" customFormat="1" ht="16.5">
      <c r="B86" s="176" t="s">
        <v>1132</v>
      </c>
      <c r="C86" s="12"/>
      <c r="D86" s="12"/>
      <c r="E86" s="12"/>
      <c r="F86" s="12"/>
      <c r="G86" s="6"/>
      <c r="H86" s="6"/>
      <c r="I86" s="6"/>
      <c r="J86" s="6"/>
      <c r="S86" s="129"/>
      <c r="T86" s="129"/>
      <c r="U86" s="129"/>
      <c r="V86" s="129"/>
      <c r="W86" s="129"/>
      <c r="X86" s="129"/>
      <c r="Y86" s="298"/>
      <c r="Z86" s="129"/>
      <c r="AA86" s="129"/>
      <c r="AB86" s="129"/>
      <c r="AC86" s="129"/>
      <c r="AD86" s="129"/>
      <c r="AE86" s="129"/>
      <c r="AF86" s="129"/>
      <c r="AL86" s="129"/>
      <c r="AM86" s="344"/>
      <c r="AN86" s="129"/>
      <c r="AO86" s="129"/>
    </row>
    <row r="87" spans="2:41" s="172" customFormat="1" ht="16.5">
      <c r="B87" s="176" t="s">
        <v>1129</v>
      </c>
      <c r="C87" s="12"/>
      <c r="D87" s="12"/>
      <c r="E87" s="12"/>
      <c r="F87" s="12"/>
      <c r="G87" s="6"/>
      <c r="H87" s="6"/>
      <c r="I87" s="6"/>
      <c r="J87" s="6"/>
      <c r="S87" s="129"/>
      <c r="T87" s="129"/>
      <c r="U87" s="129"/>
      <c r="V87" s="129"/>
      <c r="W87" s="129"/>
      <c r="X87" s="129"/>
      <c r="Y87" s="298"/>
      <c r="Z87" s="129"/>
      <c r="AA87" s="129"/>
      <c r="AB87" s="129"/>
      <c r="AC87" s="129"/>
      <c r="AD87" s="129"/>
      <c r="AE87" s="129"/>
      <c r="AF87" s="129"/>
      <c r="AL87" s="129"/>
      <c r="AM87" s="344"/>
      <c r="AN87" s="129"/>
      <c r="AO87" s="129"/>
    </row>
    <row r="88" spans="2:41" s="515" customFormat="1" ht="16.5">
      <c r="B88" s="176" t="s">
        <v>1130</v>
      </c>
      <c r="C88" s="12"/>
      <c r="D88" s="12"/>
      <c r="E88" s="12"/>
      <c r="F88" s="12"/>
      <c r="G88" s="6"/>
      <c r="H88" s="6"/>
      <c r="I88" s="6"/>
      <c r="J88" s="6"/>
      <c r="S88" s="521"/>
      <c r="T88" s="521"/>
      <c r="U88" s="521"/>
      <c r="V88" s="521"/>
      <c r="W88" s="521"/>
      <c r="X88" s="521"/>
      <c r="Y88" s="298"/>
      <c r="Z88" s="521"/>
      <c r="AA88" s="521"/>
      <c r="AB88" s="521"/>
      <c r="AC88" s="521"/>
      <c r="AD88" s="521"/>
      <c r="AE88" s="521"/>
      <c r="AF88" s="521"/>
      <c r="AL88" s="521"/>
      <c r="AM88" s="344"/>
      <c r="AN88" s="521"/>
      <c r="AO88" s="521"/>
    </row>
    <row r="89" spans="2:41" s="515" customFormat="1" ht="16.5">
      <c r="B89" s="176"/>
      <c r="C89" s="12"/>
      <c r="D89" s="12"/>
      <c r="E89" s="12"/>
      <c r="F89" s="12"/>
      <c r="G89" s="6"/>
      <c r="H89" s="6"/>
      <c r="I89" s="6"/>
      <c r="J89" s="6"/>
      <c r="S89" s="521"/>
      <c r="T89" s="521"/>
      <c r="U89" s="521"/>
      <c r="V89" s="521"/>
      <c r="W89" s="521"/>
      <c r="X89" s="521"/>
      <c r="Y89" s="298"/>
      <c r="Z89" s="521"/>
      <c r="AA89" s="521"/>
      <c r="AB89" s="521"/>
      <c r="AC89" s="521"/>
      <c r="AD89" s="521"/>
      <c r="AE89" s="521"/>
      <c r="AF89" s="521"/>
      <c r="AL89" s="521"/>
      <c r="AM89" s="344"/>
      <c r="AN89" s="521"/>
      <c r="AO89" s="521"/>
    </row>
    <row r="90" spans="2:41" s="515" customFormat="1" ht="16.5">
      <c r="B90" s="176" t="s">
        <v>1097</v>
      </c>
      <c r="C90" s="12"/>
      <c r="D90" s="12"/>
      <c r="E90" s="12"/>
      <c r="F90" s="12"/>
      <c r="G90" s="6"/>
      <c r="H90" s="6"/>
      <c r="I90" s="6"/>
      <c r="J90" s="6"/>
      <c r="S90" s="521"/>
      <c r="T90" s="521"/>
      <c r="U90" s="521"/>
      <c r="V90" s="521"/>
      <c r="W90" s="521"/>
      <c r="X90" s="521"/>
      <c r="Y90" s="298"/>
      <c r="Z90" s="521"/>
      <c r="AA90" s="521"/>
      <c r="AB90" s="521"/>
      <c r="AC90" s="521"/>
      <c r="AD90" s="521"/>
      <c r="AE90" s="521"/>
      <c r="AF90" s="521"/>
      <c r="AL90" s="521"/>
      <c r="AM90" s="344"/>
      <c r="AN90" s="521"/>
      <c r="AO90" s="521"/>
    </row>
    <row r="91" spans="2:41" s="515" customFormat="1" ht="16.5">
      <c r="B91" s="176" t="s">
        <v>1098</v>
      </c>
      <c r="C91" s="12"/>
      <c r="D91" s="12"/>
      <c r="E91" s="12"/>
      <c r="F91" s="12"/>
      <c r="G91" s="6"/>
      <c r="H91" s="6"/>
      <c r="I91" s="6"/>
      <c r="J91" s="6"/>
      <c r="S91" s="521"/>
      <c r="T91" s="521"/>
      <c r="U91" s="521"/>
      <c r="V91" s="521"/>
      <c r="W91" s="521"/>
      <c r="X91" s="521"/>
      <c r="Y91" s="298"/>
      <c r="Z91" s="521"/>
      <c r="AA91" s="521"/>
      <c r="AB91" s="521"/>
      <c r="AC91" s="521"/>
      <c r="AD91" s="521"/>
      <c r="AE91" s="521"/>
      <c r="AF91" s="521"/>
      <c r="AL91" s="521"/>
      <c r="AM91" s="344"/>
      <c r="AN91" s="521"/>
      <c r="AO91" s="521"/>
    </row>
    <row r="92" spans="2:41" s="515" customFormat="1" ht="16.5">
      <c r="B92" s="176"/>
      <c r="C92" s="12"/>
      <c r="D92" s="12"/>
      <c r="E92" s="12"/>
      <c r="F92" s="12"/>
      <c r="G92" s="6"/>
      <c r="H92" s="6"/>
      <c r="I92" s="6"/>
      <c r="J92" s="6"/>
      <c r="S92" s="521"/>
      <c r="T92" s="521"/>
      <c r="U92" s="521"/>
      <c r="V92" s="521"/>
      <c r="W92" s="521"/>
      <c r="X92" s="521"/>
      <c r="Y92" s="298"/>
      <c r="Z92" s="521"/>
      <c r="AA92" s="521"/>
      <c r="AB92" s="521"/>
      <c r="AC92" s="521"/>
      <c r="AD92" s="521"/>
      <c r="AE92" s="521"/>
      <c r="AF92" s="521"/>
      <c r="AL92" s="521"/>
      <c r="AM92" s="344"/>
      <c r="AN92" s="521"/>
      <c r="AO92" s="521"/>
    </row>
    <row r="93" spans="2:41" s="515" customFormat="1" ht="16.5">
      <c r="B93" s="176"/>
      <c r="C93" s="12"/>
      <c r="D93" s="12"/>
      <c r="E93" s="12"/>
      <c r="F93" s="12"/>
      <c r="G93" s="6"/>
      <c r="H93" s="6"/>
      <c r="I93" s="6"/>
      <c r="J93" s="6"/>
      <c r="S93" s="521"/>
      <c r="T93" s="521"/>
      <c r="U93" s="521"/>
      <c r="V93" s="521"/>
      <c r="W93" s="521"/>
      <c r="X93" s="521"/>
      <c r="Y93" s="298"/>
      <c r="Z93" s="521"/>
      <c r="AA93" s="521"/>
      <c r="AB93" s="521"/>
      <c r="AC93" s="521"/>
      <c r="AD93" s="521"/>
      <c r="AE93" s="521"/>
      <c r="AF93" s="521"/>
      <c r="AL93" s="521"/>
      <c r="AM93" s="344"/>
      <c r="AN93" s="521"/>
      <c r="AO93" s="521"/>
    </row>
    <row r="94" spans="2:41" s="172" customFormat="1" ht="15">
      <c r="B94" s="12"/>
      <c r="C94" s="12"/>
      <c r="D94" s="12"/>
      <c r="E94" s="12"/>
      <c r="F94" s="12"/>
      <c r="G94" s="6"/>
      <c r="H94" s="6"/>
      <c r="I94" s="6"/>
      <c r="J94" s="6"/>
      <c r="S94" s="129"/>
      <c r="T94" s="129"/>
      <c r="U94" s="129"/>
      <c r="V94" s="129"/>
      <c r="W94" s="129"/>
      <c r="X94" s="129"/>
      <c r="Y94" s="298"/>
      <c r="Z94" s="129"/>
      <c r="AA94" s="129"/>
      <c r="AB94" s="129"/>
      <c r="AC94" s="129"/>
      <c r="AD94" s="129"/>
      <c r="AE94" s="129"/>
      <c r="AF94" s="129"/>
      <c r="AL94" s="129"/>
      <c r="AM94" s="344"/>
      <c r="AN94" s="129"/>
      <c r="AO94" s="129"/>
    </row>
    <row r="95" spans="2:25" ht="15">
      <c r="B95" s="12"/>
      <c r="C95" s="12"/>
      <c r="D95" s="12"/>
      <c r="E95" s="12"/>
      <c r="F95" s="12"/>
      <c r="G95" s="6"/>
      <c r="H95" s="6"/>
      <c r="I95" s="6"/>
      <c r="J95" s="6"/>
      <c r="O95" s="614" t="s">
        <v>660</v>
      </c>
      <c r="P95" s="614"/>
      <c r="Q95" s="614"/>
      <c r="Y95" s="298"/>
    </row>
    <row r="96" spans="2:25" ht="18.75">
      <c r="B96" s="113" t="s">
        <v>595</v>
      </c>
      <c r="C96" s="135"/>
      <c r="D96" s="135"/>
      <c r="E96" s="135"/>
      <c r="F96" s="135"/>
      <c r="G96" s="136"/>
      <c r="H96" s="136"/>
      <c r="I96" s="136"/>
      <c r="J96" s="136"/>
      <c r="K96" s="137"/>
      <c r="L96" s="137"/>
      <c r="M96" s="137"/>
      <c r="N96" s="137"/>
      <c r="O96" s="114">
        <v>2022</v>
      </c>
      <c r="P96" s="114">
        <v>2021</v>
      </c>
      <c r="Q96" s="114">
        <v>2020</v>
      </c>
      <c r="R96" s="114">
        <v>2019</v>
      </c>
      <c r="S96" s="306"/>
      <c r="T96" s="306"/>
      <c r="U96" s="289">
        <v>2018</v>
      </c>
      <c r="V96" s="307">
        <v>2017</v>
      </c>
      <c r="W96" s="306"/>
      <c r="X96" s="306"/>
      <c r="Y96" s="307">
        <v>2016</v>
      </c>
    </row>
    <row r="97" spans="2:25" ht="20.25">
      <c r="B97" s="186" t="s">
        <v>102</v>
      </c>
      <c r="C97" s="135"/>
      <c r="D97" s="135"/>
      <c r="E97" s="135"/>
      <c r="F97" s="135"/>
      <c r="G97" s="135"/>
      <c r="H97" s="135"/>
      <c r="I97" s="135"/>
      <c r="J97" s="135"/>
      <c r="K97" s="137"/>
      <c r="L97" s="137"/>
      <c r="M97" s="137"/>
      <c r="N97" s="137"/>
      <c r="O97" s="137"/>
      <c r="P97" s="137"/>
      <c r="Q97" s="137"/>
      <c r="R97" s="137"/>
      <c r="S97" s="306"/>
      <c r="T97" s="306"/>
      <c r="U97" s="306"/>
      <c r="V97" s="306"/>
      <c r="W97" s="306"/>
      <c r="X97" s="306"/>
      <c r="Y97" s="308"/>
    </row>
    <row r="98" spans="2:25" ht="15.75">
      <c r="B98" s="63" t="s">
        <v>103</v>
      </c>
      <c r="C98" s="12"/>
      <c r="D98" s="12"/>
      <c r="E98" s="12"/>
      <c r="F98" s="12"/>
      <c r="G98" s="12"/>
      <c r="H98" s="12"/>
      <c r="I98" s="12"/>
      <c r="J98" s="12"/>
      <c r="Y98" s="298"/>
    </row>
    <row r="99" spans="2:25" ht="15">
      <c r="B99" s="12"/>
      <c r="C99" s="12"/>
      <c r="D99" s="12"/>
      <c r="E99" s="12"/>
      <c r="F99" s="12"/>
      <c r="G99" s="12"/>
      <c r="H99" s="12"/>
      <c r="I99" s="12"/>
      <c r="J99" s="12"/>
      <c r="Y99" s="298"/>
    </row>
    <row r="100" spans="2:25" ht="15">
      <c r="B100" s="12"/>
      <c r="C100" s="12"/>
      <c r="D100" s="12"/>
      <c r="E100" s="12"/>
      <c r="F100" s="12"/>
      <c r="G100" s="12"/>
      <c r="H100" s="12"/>
      <c r="I100" s="12"/>
      <c r="J100" s="12"/>
      <c r="Y100" s="298"/>
    </row>
    <row r="101" spans="2:25" ht="15" hidden="1">
      <c r="B101" s="12" t="s">
        <v>104</v>
      </c>
      <c r="C101" s="12"/>
      <c r="D101" s="12"/>
      <c r="E101" s="12"/>
      <c r="F101" s="12"/>
      <c r="G101" s="12"/>
      <c r="H101" s="16"/>
      <c r="I101" s="16"/>
      <c r="J101" s="16"/>
      <c r="Y101" s="298"/>
    </row>
    <row r="102" spans="1:25" ht="16.5" hidden="1">
      <c r="A102" s="25"/>
      <c r="B102" s="63" t="s">
        <v>105</v>
      </c>
      <c r="C102" s="63"/>
      <c r="D102" s="63"/>
      <c r="E102" s="63"/>
      <c r="F102" s="75"/>
      <c r="G102" s="63"/>
      <c r="H102" s="68">
        <v>214168.01</v>
      </c>
      <c r="I102" s="68"/>
      <c r="J102" s="68"/>
      <c r="K102" s="116"/>
      <c r="L102" s="116"/>
      <c r="M102" s="116"/>
      <c r="N102" s="116"/>
      <c r="O102" s="91"/>
      <c r="P102" s="91">
        <v>0</v>
      </c>
      <c r="Q102" s="91">
        <v>9784.09</v>
      </c>
      <c r="R102" s="91">
        <v>400</v>
      </c>
      <c r="S102" s="119"/>
      <c r="T102" s="119"/>
      <c r="U102" s="119"/>
      <c r="V102" s="118">
        <v>13220.86</v>
      </c>
      <c r="W102" s="119"/>
      <c r="X102" s="119"/>
      <c r="Y102" s="118">
        <f>180615.56+11.27</f>
        <v>180626.83</v>
      </c>
    </row>
    <row r="103" spans="2:25" ht="15.75" hidden="1">
      <c r="B103" s="63" t="s">
        <v>106</v>
      </c>
      <c r="C103" s="63"/>
      <c r="D103" s="63"/>
      <c r="E103" s="63"/>
      <c r="F103" s="63"/>
      <c r="G103" s="63"/>
      <c r="H103" s="68"/>
      <c r="I103" s="68"/>
      <c r="J103" s="68"/>
      <c r="K103" s="116"/>
      <c r="L103" s="116"/>
      <c r="M103" s="116"/>
      <c r="N103" s="116"/>
      <c r="O103" s="91"/>
      <c r="P103" s="91"/>
      <c r="Q103" s="91"/>
      <c r="R103" s="78"/>
      <c r="S103" s="119"/>
      <c r="T103" s="119"/>
      <c r="U103" s="119"/>
      <c r="V103" s="118"/>
      <c r="W103" s="119"/>
      <c r="X103" s="119"/>
      <c r="Y103" s="118"/>
    </row>
    <row r="104" spans="2:25" ht="15.75" hidden="1">
      <c r="B104" s="63" t="s">
        <v>273</v>
      </c>
      <c r="C104" s="63"/>
      <c r="D104" s="63"/>
      <c r="E104" s="63"/>
      <c r="F104" s="63"/>
      <c r="G104" s="63"/>
      <c r="H104" s="68"/>
      <c r="I104" s="68"/>
      <c r="J104" s="68"/>
      <c r="K104" s="116"/>
      <c r="L104" s="116"/>
      <c r="M104" s="116"/>
      <c r="N104" s="116"/>
      <c r="O104" s="91"/>
      <c r="P104" s="91"/>
      <c r="Q104" s="91"/>
      <c r="R104" s="91"/>
      <c r="S104" s="119"/>
      <c r="T104" s="119"/>
      <c r="U104" s="119"/>
      <c r="V104" s="118"/>
      <c r="W104" s="119"/>
      <c r="X104" s="119"/>
      <c r="Y104" s="118"/>
    </row>
    <row r="105" spans="2:25" ht="16.5" hidden="1">
      <c r="B105" s="63" t="s">
        <v>107</v>
      </c>
      <c r="C105" s="63"/>
      <c r="D105" s="63"/>
      <c r="E105" s="63"/>
      <c r="F105" s="63"/>
      <c r="G105" s="63"/>
      <c r="H105" s="68"/>
      <c r="I105" s="68"/>
      <c r="J105" s="68"/>
      <c r="K105" s="116"/>
      <c r="L105" s="116"/>
      <c r="M105" s="116"/>
      <c r="N105" s="116"/>
      <c r="O105" s="91"/>
      <c r="P105" s="91"/>
      <c r="Q105" s="91"/>
      <c r="R105" s="138"/>
      <c r="S105" s="119"/>
      <c r="T105" s="119"/>
      <c r="U105" s="119"/>
      <c r="V105" s="118"/>
      <c r="W105" s="119"/>
      <c r="X105" s="119"/>
      <c r="Y105" s="118">
        <v>0</v>
      </c>
    </row>
    <row r="106" spans="2:25" ht="16.5" hidden="1">
      <c r="B106" s="63" t="s">
        <v>244</v>
      </c>
      <c r="C106" s="63"/>
      <c r="D106" s="63"/>
      <c r="E106" s="63"/>
      <c r="F106" s="75"/>
      <c r="G106" s="63"/>
      <c r="H106" s="68"/>
      <c r="I106" s="68"/>
      <c r="J106" s="68"/>
      <c r="K106" s="116"/>
      <c r="L106" s="116"/>
      <c r="M106" s="116"/>
      <c r="N106" s="116"/>
      <c r="O106" s="91"/>
      <c r="P106" s="91"/>
      <c r="Q106" s="91"/>
      <c r="R106" s="91"/>
      <c r="S106" s="119"/>
      <c r="T106" s="119"/>
      <c r="U106" s="119"/>
      <c r="V106" s="118"/>
      <c r="W106" s="119"/>
      <c r="X106" s="119"/>
      <c r="Y106" s="118"/>
    </row>
    <row r="107" spans="2:25" ht="16.5">
      <c r="B107" s="63" t="s">
        <v>272</v>
      </c>
      <c r="C107" s="63"/>
      <c r="D107" s="63"/>
      <c r="E107" s="63"/>
      <c r="F107" s="75"/>
      <c r="G107" s="63"/>
      <c r="H107" s="68">
        <f>538826.29-510880</f>
        <v>27946.290000000037</v>
      </c>
      <c r="I107" s="68"/>
      <c r="J107" s="68"/>
      <c r="K107" s="116"/>
      <c r="L107" s="116"/>
      <c r="M107" s="116"/>
      <c r="N107" s="116"/>
      <c r="O107" s="91">
        <v>25</v>
      </c>
      <c r="P107" s="91">
        <v>25</v>
      </c>
      <c r="Q107" s="91">
        <v>25</v>
      </c>
      <c r="R107" s="78">
        <v>245755.93</v>
      </c>
      <c r="S107" s="119"/>
      <c r="T107" s="119"/>
      <c r="U107" s="119"/>
      <c r="V107" s="118"/>
      <c r="W107" s="119"/>
      <c r="X107" s="119"/>
      <c r="Y107" s="118">
        <v>0</v>
      </c>
    </row>
    <row r="108" spans="1:25" ht="16.5">
      <c r="A108" s="25" t="s">
        <v>109</v>
      </c>
      <c r="B108" s="12" t="s">
        <v>619</v>
      </c>
      <c r="C108" s="12"/>
      <c r="D108" s="12"/>
      <c r="E108" s="12"/>
      <c r="F108" s="25"/>
      <c r="G108" s="12"/>
      <c r="H108" s="68">
        <v>31630</v>
      </c>
      <c r="I108" s="68"/>
      <c r="J108" s="68"/>
      <c r="K108" s="116"/>
      <c r="L108" s="116"/>
      <c r="M108" s="116"/>
      <c r="N108" s="116"/>
      <c r="O108" s="91">
        <v>969548.51</v>
      </c>
      <c r="P108" s="91">
        <v>969548.51</v>
      </c>
      <c r="Q108" s="91">
        <v>969548.51</v>
      </c>
      <c r="R108" s="91">
        <v>969548.51</v>
      </c>
      <c r="S108" s="119"/>
      <c r="T108" s="119"/>
      <c r="U108" s="119"/>
      <c r="V108" s="118"/>
      <c r="W108" s="119"/>
      <c r="X108" s="119"/>
      <c r="Y108" s="118">
        <v>7851.83</v>
      </c>
    </row>
    <row r="109" spans="1:25" ht="17.25" thickBot="1">
      <c r="A109" s="25" t="s">
        <v>109</v>
      </c>
      <c r="B109" s="63" t="s">
        <v>108</v>
      </c>
      <c r="C109" s="63"/>
      <c r="D109" s="63"/>
      <c r="E109" s="63"/>
      <c r="F109" s="75"/>
      <c r="G109" s="63"/>
      <c r="H109" s="68">
        <v>1616329.37</v>
      </c>
      <c r="I109" s="68"/>
      <c r="J109" s="68"/>
      <c r="K109" s="116"/>
      <c r="L109" s="116"/>
      <c r="M109" s="116"/>
      <c r="N109" s="116"/>
      <c r="O109" s="89">
        <v>1616329.37</v>
      </c>
      <c r="P109" s="89">
        <v>1616329.37</v>
      </c>
      <c r="Q109" s="89">
        <v>1616329.37</v>
      </c>
      <c r="R109" s="89">
        <v>1616329.37</v>
      </c>
      <c r="S109" s="119"/>
      <c r="T109" s="119"/>
      <c r="U109" s="296">
        <v>1616329.37</v>
      </c>
      <c r="V109" s="296">
        <v>1616329.37</v>
      </c>
      <c r="W109" s="119"/>
      <c r="X109" s="119"/>
      <c r="Y109" s="296">
        <v>1616329.37</v>
      </c>
    </row>
    <row r="110" spans="2:25" ht="17.25" hidden="1" thickBot="1">
      <c r="B110" s="63" t="s">
        <v>110</v>
      </c>
      <c r="C110" s="63"/>
      <c r="D110" s="63"/>
      <c r="E110" s="63"/>
      <c r="F110" s="75"/>
      <c r="G110" s="63"/>
      <c r="H110" s="68"/>
      <c r="I110" s="68"/>
      <c r="J110" s="68"/>
      <c r="K110" s="116"/>
      <c r="L110" s="116"/>
      <c r="M110" s="116"/>
      <c r="N110" s="116"/>
      <c r="O110" s="89"/>
      <c r="P110" s="89"/>
      <c r="Q110" s="89"/>
      <c r="R110" s="89"/>
      <c r="S110" s="119"/>
      <c r="T110" s="119"/>
      <c r="U110" s="118"/>
      <c r="V110" s="118"/>
      <c r="W110" s="119"/>
      <c r="X110" s="119"/>
      <c r="Y110" s="118"/>
    </row>
    <row r="111" spans="2:25" ht="16.5" hidden="1">
      <c r="B111" s="63"/>
      <c r="C111" s="63"/>
      <c r="D111" s="63"/>
      <c r="E111" s="63"/>
      <c r="F111" s="75"/>
      <c r="G111" s="63"/>
      <c r="H111" s="68"/>
      <c r="I111" s="68"/>
      <c r="J111" s="68"/>
      <c r="K111" s="116"/>
      <c r="L111" s="116"/>
      <c r="M111" s="116"/>
      <c r="N111" s="116"/>
      <c r="O111" s="230"/>
      <c r="P111" s="204"/>
      <c r="Q111" s="78"/>
      <c r="R111" s="78"/>
      <c r="S111" s="119"/>
      <c r="T111" s="119"/>
      <c r="U111" s="118"/>
      <c r="V111" s="118"/>
      <c r="W111" s="119"/>
      <c r="X111" s="119"/>
      <c r="Y111" s="118"/>
    </row>
    <row r="112" spans="2:25" ht="21" thickBot="1">
      <c r="B112" s="186" t="s">
        <v>111</v>
      </c>
      <c r="C112" s="63"/>
      <c r="D112" s="63"/>
      <c r="E112" s="63"/>
      <c r="F112" s="63"/>
      <c r="G112" s="63"/>
      <c r="H112" s="139">
        <f>SUM(H101:H110)</f>
        <v>1890073.6700000002</v>
      </c>
      <c r="I112" s="138"/>
      <c r="J112" s="138"/>
      <c r="K112" s="116"/>
      <c r="L112" s="116"/>
      <c r="M112" s="116"/>
      <c r="N112" s="116"/>
      <c r="O112" s="214">
        <f>SUM(O102:O109)</f>
        <v>2585902.88</v>
      </c>
      <c r="P112" s="214">
        <f>SUM(P102:P109)</f>
        <v>2585902.88</v>
      </c>
      <c r="Q112" s="214">
        <f>SUM(Q102:Q109)</f>
        <v>2595686.97</v>
      </c>
      <c r="R112" s="214">
        <f>SUM(R100:R109)</f>
        <v>2832033.81</v>
      </c>
      <c r="S112" s="119"/>
      <c r="T112" s="119"/>
      <c r="U112" s="309">
        <f>SUM(U109:U111)</f>
        <v>1616329.37</v>
      </c>
      <c r="V112" s="309">
        <f>SUM(V102:V109)</f>
        <v>1629550.2300000002</v>
      </c>
      <c r="W112" s="119"/>
      <c r="X112" s="119"/>
      <c r="Y112" s="309">
        <f>SUM(Y101:Y110)</f>
        <v>1804808.03</v>
      </c>
    </row>
    <row r="113" spans="2:25" ht="17.25" thickTop="1">
      <c r="B113" s="75"/>
      <c r="C113" s="12"/>
      <c r="D113" s="12"/>
      <c r="E113" s="12"/>
      <c r="F113" s="12"/>
      <c r="G113" s="12"/>
      <c r="H113" s="95"/>
      <c r="I113" s="95"/>
      <c r="J113" s="95"/>
      <c r="R113" s="138"/>
      <c r="Y113" s="298"/>
    </row>
    <row r="114" spans="2:25" ht="16.5">
      <c r="B114" s="75"/>
      <c r="C114" s="12"/>
      <c r="D114" s="12"/>
      <c r="E114" s="12"/>
      <c r="F114" s="12"/>
      <c r="G114" s="12"/>
      <c r="H114" s="95"/>
      <c r="I114" s="95"/>
      <c r="J114" s="95"/>
      <c r="R114" s="138"/>
      <c r="Y114" s="298"/>
    </row>
    <row r="115" spans="2:25" ht="16.5">
      <c r="B115" s="75"/>
      <c r="C115" s="12"/>
      <c r="D115" s="12"/>
      <c r="E115" s="12"/>
      <c r="F115" s="12"/>
      <c r="G115" s="12"/>
      <c r="H115" s="95"/>
      <c r="I115" s="95"/>
      <c r="J115" s="95"/>
      <c r="R115" s="138"/>
      <c r="Y115" s="298"/>
    </row>
    <row r="116" spans="2:25" ht="16.5">
      <c r="B116" s="75"/>
      <c r="C116" s="12"/>
      <c r="D116" s="12"/>
      <c r="E116" s="12"/>
      <c r="F116" s="12"/>
      <c r="G116" s="12"/>
      <c r="H116" s="95"/>
      <c r="I116" s="95"/>
      <c r="J116" s="95"/>
      <c r="R116" s="138"/>
      <c r="Y116" s="298"/>
    </row>
    <row r="117" spans="2:30" ht="16.5">
      <c r="B117" s="75" t="s">
        <v>666</v>
      </c>
      <c r="C117" s="25"/>
      <c r="D117" s="25"/>
      <c r="E117" s="25"/>
      <c r="F117" s="25"/>
      <c r="G117" s="25"/>
      <c r="H117" s="95"/>
      <c r="I117" s="95"/>
      <c r="J117" s="95"/>
      <c r="K117" s="102"/>
      <c r="L117" s="102"/>
      <c r="M117" s="102"/>
      <c r="N117" s="102"/>
      <c r="O117" s="102"/>
      <c r="P117" s="102"/>
      <c r="Q117" s="102"/>
      <c r="R117" s="102"/>
      <c r="S117" s="310"/>
      <c r="T117" s="310"/>
      <c r="U117" s="310"/>
      <c r="V117" s="310"/>
      <c r="W117" s="310"/>
      <c r="X117" s="310"/>
      <c r="Y117" s="311"/>
      <c r="Z117" s="310"/>
      <c r="AA117" s="310"/>
      <c r="AB117" s="310"/>
      <c r="AC117" s="310"/>
      <c r="AD117" s="310"/>
    </row>
    <row r="118" spans="2:30" ht="16.5">
      <c r="B118" s="75" t="s">
        <v>852</v>
      </c>
      <c r="C118" s="25"/>
      <c r="D118" s="25"/>
      <c r="E118" s="25"/>
      <c r="F118" s="25"/>
      <c r="G118" s="25"/>
      <c r="H118" s="95"/>
      <c r="I118" s="95"/>
      <c r="J118" s="95"/>
      <c r="K118" s="102"/>
      <c r="L118" s="102"/>
      <c r="M118" s="102"/>
      <c r="N118" s="102"/>
      <c r="O118" s="102"/>
      <c r="P118" s="102"/>
      <c r="Q118" s="102"/>
      <c r="R118" s="102"/>
      <c r="S118" s="310"/>
      <c r="T118" s="310"/>
      <c r="U118" s="310"/>
      <c r="V118" s="310"/>
      <c r="W118" s="310"/>
      <c r="X118" s="310"/>
      <c r="Y118" s="311"/>
      <c r="Z118" s="310"/>
      <c r="AA118" s="310"/>
      <c r="AB118" s="310"/>
      <c r="AC118" s="310"/>
      <c r="AD118" s="310"/>
    </row>
    <row r="119" spans="2:41" s="172" customFormat="1" ht="16.5">
      <c r="B119" s="75" t="s">
        <v>855</v>
      </c>
      <c r="C119" s="25"/>
      <c r="D119" s="25"/>
      <c r="E119" s="25"/>
      <c r="F119" s="25"/>
      <c r="G119" s="25"/>
      <c r="H119" s="95"/>
      <c r="I119" s="95"/>
      <c r="J119" s="95"/>
      <c r="K119" s="102"/>
      <c r="L119" s="102"/>
      <c r="M119" s="102"/>
      <c r="N119" s="102"/>
      <c r="O119" s="102"/>
      <c r="P119" s="102"/>
      <c r="Q119" s="102"/>
      <c r="R119" s="102"/>
      <c r="S119" s="310"/>
      <c r="T119" s="310"/>
      <c r="U119" s="310"/>
      <c r="V119" s="310"/>
      <c r="W119" s="310"/>
      <c r="X119" s="310"/>
      <c r="Y119" s="311"/>
      <c r="Z119" s="310"/>
      <c r="AA119" s="310"/>
      <c r="AB119" s="310"/>
      <c r="AC119" s="310"/>
      <c r="AD119" s="310"/>
      <c r="AE119" s="129"/>
      <c r="AF119" s="129"/>
      <c r="AL119" s="129"/>
      <c r="AM119" s="344"/>
      <c r="AN119" s="129"/>
      <c r="AO119" s="129"/>
    </row>
    <row r="120" spans="2:30" ht="16.5">
      <c r="B120" s="75" t="s">
        <v>897</v>
      </c>
      <c r="C120" s="25"/>
      <c r="D120" s="25"/>
      <c r="E120" s="25"/>
      <c r="F120" s="25"/>
      <c r="G120" s="25"/>
      <c r="H120" s="95"/>
      <c r="I120" s="95"/>
      <c r="J120" s="95"/>
      <c r="K120" s="102"/>
      <c r="L120" s="102"/>
      <c r="M120" s="102"/>
      <c r="N120" s="102"/>
      <c r="O120" s="102"/>
      <c r="P120" s="102"/>
      <c r="Q120" s="102"/>
      <c r="R120" s="102"/>
      <c r="S120" s="310"/>
      <c r="T120" s="310"/>
      <c r="U120" s="310"/>
      <c r="V120" s="310"/>
      <c r="W120" s="310"/>
      <c r="X120" s="310"/>
      <c r="Y120" s="311"/>
      <c r="Z120" s="310"/>
      <c r="AA120" s="310"/>
      <c r="AB120" s="310"/>
      <c r="AC120" s="310"/>
      <c r="AD120" s="310"/>
    </row>
    <row r="121" spans="2:30" ht="16.5">
      <c r="B121" s="75" t="s">
        <v>856</v>
      </c>
      <c r="C121" s="25"/>
      <c r="D121" s="25"/>
      <c r="E121" s="25"/>
      <c r="F121" s="25"/>
      <c r="G121" s="25"/>
      <c r="H121" s="95"/>
      <c r="I121" s="95"/>
      <c r="J121" s="95"/>
      <c r="K121" s="102"/>
      <c r="L121" s="102"/>
      <c r="M121" s="102"/>
      <c r="N121" s="102"/>
      <c r="O121" s="102"/>
      <c r="P121" s="102"/>
      <c r="Q121" s="102"/>
      <c r="R121" s="102"/>
      <c r="S121" s="310"/>
      <c r="T121" s="310"/>
      <c r="U121" s="310"/>
      <c r="V121" s="310"/>
      <c r="W121" s="310"/>
      <c r="X121" s="310"/>
      <c r="Y121" s="311"/>
      <c r="Z121" s="310"/>
      <c r="AA121" s="310"/>
      <c r="AB121" s="310"/>
      <c r="AC121" s="310"/>
      <c r="AD121" s="310"/>
    </row>
    <row r="122" spans="2:30" ht="16.5">
      <c r="B122" s="75" t="s">
        <v>857</v>
      </c>
      <c r="C122" s="25"/>
      <c r="D122" s="25"/>
      <c r="E122" s="25"/>
      <c r="F122" s="25"/>
      <c r="G122" s="25"/>
      <c r="H122" s="95"/>
      <c r="I122" s="95"/>
      <c r="J122" s="95"/>
      <c r="K122" s="102"/>
      <c r="L122" s="102"/>
      <c r="M122" s="102"/>
      <c r="N122" s="102"/>
      <c r="O122" s="102"/>
      <c r="P122" s="102"/>
      <c r="Q122" s="102"/>
      <c r="R122" s="102"/>
      <c r="S122" s="310"/>
      <c r="T122" s="310"/>
      <c r="U122" s="310"/>
      <c r="V122" s="310"/>
      <c r="W122" s="310"/>
      <c r="X122" s="310"/>
      <c r="Y122" s="311"/>
      <c r="Z122" s="310"/>
      <c r="AA122" s="310"/>
      <c r="AB122" s="310"/>
      <c r="AC122" s="310"/>
      <c r="AD122" s="310"/>
    </row>
    <row r="123" spans="2:30" ht="16.5">
      <c r="B123" s="75" t="s">
        <v>858</v>
      </c>
      <c r="C123" s="25"/>
      <c r="D123" s="25"/>
      <c r="E123" s="25"/>
      <c r="F123" s="25"/>
      <c r="G123" s="25"/>
      <c r="H123" s="95"/>
      <c r="I123" s="95"/>
      <c r="J123" s="95"/>
      <c r="K123" s="102"/>
      <c r="L123" s="102"/>
      <c r="M123" s="102"/>
      <c r="N123" s="102"/>
      <c r="O123" s="102"/>
      <c r="P123" s="102"/>
      <c r="Q123" s="102"/>
      <c r="R123" s="102"/>
      <c r="S123" s="310"/>
      <c r="T123" s="310"/>
      <c r="U123" s="310"/>
      <c r="V123" s="310"/>
      <c r="W123" s="310"/>
      <c r="X123" s="310"/>
      <c r="Y123" s="311"/>
      <c r="Z123" s="310"/>
      <c r="AA123" s="310"/>
      <c r="AB123" s="310"/>
      <c r="AC123" s="310"/>
      <c r="AD123" s="310"/>
    </row>
    <row r="124" spans="2:30" ht="16.5">
      <c r="B124" s="75" t="s">
        <v>853</v>
      </c>
      <c r="C124" s="25"/>
      <c r="D124" s="25"/>
      <c r="E124" s="25"/>
      <c r="F124" s="25"/>
      <c r="G124" s="25"/>
      <c r="H124" s="95"/>
      <c r="I124" s="95"/>
      <c r="J124" s="95"/>
      <c r="K124" s="102"/>
      <c r="L124" s="102"/>
      <c r="M124" s="102"/>
      <c r="N124" s="102"/>
      <c r="O124" s="102"/>
      <c r="P124" s="102"/>
      <c r="Q124" s="102"/>
      <c r="R124" s="102"/>
      <c r="S124" s="310"/>
      <c r="T124" s="310"/>
      <c r="U124" s="310"/>
      <c r="V124" s="310"/>
      <c r="W124" s="310"/>
      <c r="X124" s="310"/>
      <c r="Y124" s="311"/>
      <c r="Z124" s="310"/>
      <c r="AA124" s="310"/>
      <c r="AB124" s="310"/>
      <c r="AC124" s="310"/>
      <c r="AD124" s="310"/>
    </row>
    <row r="125" spans="2:30" ht="16.5">
      <c r="B125" s="75" t="s">
        <v>854</v>
      </c>
      <c r="C125" s="25"/>
      <c r="D125" s="25"/>
      <c r="E125" s="25"/>
      <c r="F125" s="25"/>
      <c r="G125" s="25"/>
      <c r="H125" s="25"/>
      <c r="I125" s="25"/>
      <c r="J125" s="25"/>
      <c r="K125" s="102"/>
      <c r="L125" s="102"/>
      <c r="M125" s="102"/>
      <c r="N125" s="102"/>
      <c r="O125" s="102"/>
      <c r="P125" s="102"/>
      <c r="Q125" s="102"/>
      <c r="R125" s="102"/>
      <c r="S125" s="310"/>
      <c r="T125" s="310"/>
      <c r="U125" s="310"/>
      <c r="V125" s="310"/>
      <c r="W125" s="310"/>
      <c r="X125" s="310"/>
      <c r="Y125" s="311"/>
      <c r="Z125" s="310"/>
      <c r="AA125" s="310"/>
      <c r="AB125" s="310"/>
      <c r="AC125" s="310"/>
      <c r="AD125" s="310"/>
    </row>
    <row r="126" spans="2:30" ht="16.5">
      <c r="B126" s="75" t="s">
        <v>898</v>
      </c>
      <c r="C126" s="25"/>
      <c r="D126" s="25"/>
      <c r="E126" s="25"/>
      <c r="F126" s="25"/>
      <c r="G126" s="25"/>
      <c r="H126" s="25"/>
      <c r="I126" s="25"/>
      <c r="J126" s="25"/>
      <c r="K126" s="95"/>
      <c r="L126" s="95"/>
      <c r="M126" s="95"/>
      <c r="N126" s="95"/>
      <c r="O126" s="95"/>
      <c r="P126" s="95"/>
      <c r="Q126" s="95"/>
      <c r="R126" s="102"/>
      <c r="S126" s="310"/>
      <c r="T126" s="310"/>
      <c r="U126" s="310"/>
      <c r="V126" s="310"/>
      <c r="W126" s="310"/>
      <c r="X126" s="310"/>
      <c r="Y126" s="310"/>
      <c r="Z126" s="310"/>
      <c r="AA126" s="310"/>
      <c r="AB126" s="310"/>
      <c r="AC126" s="310"/>
      <c r="AD126" s="310"/>
    </row>
    <row r="127" spans="2:41" s="172" customFormat="1" ht="16.5">
      <c r="B127" s="75" t="s">
        <v>899</v>
      </c>
      <c r="C127" s="25"/>
      <c r="D127" s="25"/>
      <c r="E127" s="25"/>
      <c r="F127" s="25"/>
      <c r="G127" s="25"/>
      <c r="H127" s="25"/>
      <c r="I127" s="25"/>
      <c r="J127" s="25"/>
      <c r="K127" s="95"/>
      <c r="L127" s="95"/>
      <c r="M127" s="95"/>
      <c r="N127" s="95"/>
      <c r="O127" s="95"/>
      <c r="P127" s="95"/>
      <c r="Q127" s="95"/>
      <c r="R127" s="102"/>
      <c r="S127" s="310"/>
      <c r="T127" s="310"/>
      <c r="U127" s="310"/>
      <c r="V127" s="310"/>
      <c r="W127" s="310"/>
      <c r="X127" s="310"/>
      <c r="Y127" s="310"/>
      <c r="Z127" s="310"/>
      <c r="AA127" s="310"/>
      <c r="AB127" s="310"/>
      <c r="AC127" s="310"/>
      <c r="AD127" s="310"/>
      <c r="AE127" s="129"/>
      <c r="AF127" s="129"/>
      <c r="AL127" s="129"/>
      <c r="AM127" s="344"/>
      <c r="AN127" s="129"/>
      <c r="AO127" s="129"/>
    </row>
    <row r="128" spans="2:41" s="172" customFormat="1" ht="16.5">
      <c r="B128" s="75"/>
      <c r="C128" s="25"/>
      <c r="D128" s="25"/>
      <c r="E128" s="25"/>
      <c r="F128" s="25"/>
      <c r="G128" s="25"/>
      <c r="H128" s="25"/>
      <c r="I128" s="25"/>
      <c r="J128" s="25"/>
      <c r="K128" s="95"/>
      <c r="L128" s="95"/>
      <c r="M128" s="95"/>
      <c r="N128" s="95"/>
      <c r="O128" s="95"/>
      <c r="P128" s="95"/>
      <c r="Q128" s="95"/>
      <c r="R128" s="102"/>
      <c r="S128" s="310"/>
      <c r="T128" s="310"/>
      <c r="U128" s="310"/>
      <c r="V128" s="310"/>
      <c r="W128" s="310"/>
      <c r="X128" s="310"/>
      <c r="Y128" s="310"/>
      <c r="Z128" s="310"/>
      <c r="AA128" s="310"/>
      <c r="AB128" s="310"/>
      <c r="AC128" s="310"/>
      <c r="AD128" s="310"/>
      <c r="AE128" s="129"/>
      <c r="AF128" s="129"/>
      <c r="AL128" s="129"/>
      <c r="AM128" s="344"/>
      <c r="AN128" s="129"/>
      <c r="AO128" s="129"/>
    </row>
    <row r="129" spans="2:41" s="172" customFormat="1" ht="16.5">
      <c r="B129" s="75"/>
      <c r="C129" s="25"/>
      <c r="D129" s="25"/>
      <c r="E129" s="25"/>
      <c r="F129" s="25"/>
      <c r="G129" s="25"/>
      <c r="H129" s="25"/>
      <c r="I129" s="25"/>
      <c r="J129" s="25"/>
      <c r="K129" s="95"/>
      <c r="L129" s="95"/>
      <c r="M129" s="95"/>
      <c r="N129" s="95"/>
      <c r="O129" s="95"/>
      <c r="P129" s="95"/>
      <c r="Q129" s="95"/>
      <c r="R129" s="102"/>
      <c r="S129" s="310"/>
      <c r="T129" s="310"/>
      <c r="U129" s="310"/>
      <c r="V129" s="310"/>
      <c r="W129" s="310"/>
      <c r="X129" s="310"/>
      <c r="Y129" s="310"/>
      <c r="Z129" s="310"/>
      <c r="AA129" s="310"/>
      <c r="AB129" s="310"/>
      <c r="AC129" s="310"/>
      <c r="AD129" s="310"/>
      <c r="AE129" s="129"/>
      <c r="AF129" s="129"/>
      <c r="AL129" s="129"/>
      <c r="AM129" s="344"/>
      <c r="AN129" s="129"/>
      <c r="AO129" s="129"/>
    </row>
    <row r="130" spans="2:30" ht="16.5">
      <c r="B130" s="75" t="s">
        <v>859</v>
      </c>
      <c r="C130" s="25"/>
      <c r="D130" s="25"/>
      <c r="E130" s="25"/>
      <c r="F130" s="25"/>
      <c r="G130" s="25"/>
      <c r="H130" s="25"/>
      <c r="I130" s="25"/>
      <c r="J130" s="25"/>
      <c r="K130" s="95"/>
      <c r="L130" s="95"/>
      <c r="M130" s="95"/>
      <c r="N130" s="95"/>
      <c r="O130" s="95"/>
      <c r="P130" s="95"/>
      <c r="Q130" s="95"/>
      <c r="R130" s="102"/>
      <c r="S130" s="310"/>
      <c r="T130" s="310"/>
      <c r="U130" s="310"/>
      <c r="V130" s="310"/>
      <c r="W130" s="310"/>
      <c r="X130" s="310"/>
      <c r="Y130" s="310"/>
      <c r="Z130" s="310"/>
      <c r="AA130" s="310"/>
      <c r="AB130" s="310"/>
      <c r="AC130" s="310"/>
      <c r="AD130" s="310"/>
    </row>
    <row r="131" spans="2:41" s="172" customFormat="1" ht="16.5">
      <c r="B131" s="75" t="s">
        <v>860</v>
      </c>
      <c r="C131" s="25"/>
      <c r="D131" s="25"/>
      <c r="E131" s="25"/>
      <c r="F131" s="25"/>
      <c r="G131" s="25"/>
      <c r="H131" s="25"/>
      <c r="I131" s="25"/>
      <c r="J131" s="25"/>
      <c r="K131" s="95"/>
      <c r="L131" s="95"/>
      <c r="M131" s="95"/>
      <c r="N131" s="95"/>
      <c r="O131" s="95"/>
      <c r="P131" s="95"/>
      <c r="Q131" s="95"/>
      <c r="R131" s="102"/>
      <c r="S131" s="310"/>
      <c r="T131" s="310"/>
      <c r="U131" s="310"/>
      <c r="V131" s="310"/>
      <c r="W131" s="310"/>
      <c r="X131" s="310"/>
      <c r="Y131" s="310"/>
      <c r="Z131" s="310"/>
      <c r="AA131" s="310"/>
      <c r="AB131" s="310"/>
      <c r="AC131" s="310"/>
      <c r="AD131" s="310"/>
      <c r="AE131" s="129"/>
      <c r="AF131" s="129"/>
      <c r="AL131" s="129"/>
      <c r="AM131" s="344"/>
      <c r="AN131" s="129"/>
      <c r="AO131" s="129"/>
    </row>
    <row r="132" spans="2:30" ht="16.5">
      <c r="B132" s="75" t="s">
        <v>861</v>
      </c>
      <c r="C132" s="25"/>
      <c r="D132" s="25"/>
      <c r="E132" s="25"/>
      <c r="F132" s="25"/>
      <c r="G132" s="25"/>
      <c r="H132" s="25"/>
      <c r="I132" s="25"/>
      <c r="J132" s="25"/>
      <c r="K132" s="95"/>
      <c r="L132" s="95"/>
      <c r="M132" s="95"/>
      <c r="N132" s="95"/>
      <c r="O132" s="95"/>
      <c r="P132" s="95"/>
      <c r="Q132" s="95"/>
      <c r="R132" s="102"/>
      <c r="S132" s="310"/>
      <c r="T132" s="310"/>
      <c r="U132" s="310"/>
      <c r="V132" s="310"/>
      <c r="W132" s="310"/>
      <c r="X132" s="310"/>
      <c r="Y132" s="310"/>
      <c r="Z132" s="310"/>
      <c r="AA132" s="310"/>
      <c r="AB132" s="310"/>
      <c r="AC132" s="310"/>
      <c r="AD132" s="310"/>
    </row>
    <row r="133" spans="2:25" ht="16.5">
      <c r="B133" s="75" t="s">
        <v>862</v>
      </c>
      <c r="C133" s="12"/>
      <c r="D133" s="12"/>
      <c r="E133" s="12"/>
      <c r="F133" s="12"/>
      <c r="G133" s="12"/>
      <c r="H133" s="12"/>
      <c r="I133" s="12"/>
      <c r="J133" s="12"/>
      <c r="Y133" s="298"/>
    </row>
    <row r="134" spans="2:25" ht="16.5">
      <c r="B134" s="75" t="s">
        <v>900</v>
      </c>
      <c r="C134" s="12"/>
      <c r="D134" s="12"/>
      <c r="E134" s="12"/>
      <c r="F134" s="12"/>
      <c r="G134" s="12"/>
      <c r="H134" s="12"/>
      <c r="I134" s="12"/>
      <c r="J134" s="12"/>
      <c r="Y134" s="298"/>
    </row>
    <row r="135" spans="2:25" ht="16.5">
      <c r="B135" s="75"/>
      <c r="C135" s="12"/>
      <c r="D135" s="12"/>
      <c r="E135" s="12"/>
      <c r="F135" s="12"/>
      <c r="G135" s="12"/>
      <c r="H135" s="12"/>
      <c r="I135" s="12"/>
      <c r="J135" s="12"/>
      <c r="Y135" s="298"/>
    </row>
    <row r="136" spans="2:25" ht="15">
      <c r="B136" s="12"/>
      <c r="C136" s="12"/>
      <c r="D136" s="12"/>
      <c r="E136" s="12"/>
      <c r="F136" s="12"/>
      <c r="G136" s="12"/>
      <c r="H136" s="12"/>
      <c r="I136" s="12"/>
      <c r="J136" s="12"/>
      <c r="Y136" s="298"/>
    </row>
    <row r="137" spans="2:25" ht="15">
      <c r="B137" s="12"/>
      <c r="C137" s="12"/>
      <c r="D137" s="12"/>
      <c r="E137" s="12"/>
      <c r="F137" s="12"/>
      <c r="G137" s="12"/>
      <c r="H137" s="12"/>
      <c r="I137" s="12"/>
      <c r="J137" s="12"/>
      <c r="O137" s="614" t="s">
        <v>660</v>
      </c>
      <c r="P137" s="614"/>
      <c r="Q137" s="614"/>
      <c r="Y137" s="298"/>
    </row>
    <row r="138" spans="2:25" ht="18.75">
      <c r="B138" s="113" t="s">
        <v>596</v>
      </c>
      <c r="C138" s="135"/>
      <c r="D138" s="135"/>
      <c r="E138" s="135"/>
      <c r="F138" s="135"/>
      <c r="G138" s="135"/>
      <c r="H138" s="114">
        <v>2015</v>
      </c>
      <c r="I138" s="135"/>
      <c r="J138" s="135"/>
      <c r="K138" s="137"/>
      <c r="L138" s="137"/>
      <c r="M138" s="137"/>
      <c r="N138" s="137"/>
      <c r="O138" s="114">
        <v>2022</v>
      </c>
      <c r="P138" s="114">
        <v>2021</v>
      </c>
      <c r="Q138" s="114">
        <v>2020</v>
      </c>
      <c r="R138" s="114">
        <v>2019</v>
      </c>
      <c r="S138" s="306"/>
      <c r="T138" s="306"/>
      <c r="U138" s="289">
        <v>2018</v>
      </c>
      <c r="V138" s="307">
        <v>2017</v>
      </c>
      <c r="W138" s="312"/>
      <c r="X138" s="312"/>
      <c r="Y138" s="307">
        <v>2016</v>
      </c>
    </row>
    <row r="139" spans="2:25" ht="20.25">
      <c r="B139" s="186" t="s">
        <v>245</v>
      </c>
      <c r="C139" s="135"/>
      <c r="D139" s="135"/>
      <c r="E139" s="135"/>
      <c r="F139" s="135"/>
      <c r="G139" s="135"/>
      <c r="H139" s="135"/>
      <c r="I139" s="135"/>
      <c r="J139" s="135"/>
      <c r="K139" s="137"/>
      <c r="L139" s="137"/>
      <c r="M139" s="137"/>
      <c r="N139" s="137"/>
      <c r="O139" s="137"/>
      <c r="P139" s="137"/>
      <c r="Q139" s="137"/>
      <c r="R139" s="137"/>
      <c r="S139" s="306"/>
      <c r="T139" s="306"/>
      <c r="U139" s="306"/>
      <c r="V139" s="306"/>
      <c r="W139" s="306"/>
      <c r="X139" s="306"/>
      <c r="Y139" s="308"/>
    </row>
    <row r="140" spans="2:25" ht="15.75">
      <c r="B140" s="63" t="s">
        <v>113</v>
      </c>
      <c r="C140" s="12"/>
      <c r="D140" s="12"/>
      <c r="E140" s="12"/>
      <c r="F140" s="12"/>
      <c r="G140" s="12"/>
      <c r="H140" s="12"/>
      <c r="I140" s="12"/>
      <c r="J140" s="12"/>
      <c r="Y140" s="298"/>
    </row>
    <row r="141" spans="2:25" ht="15">
      <c r="B141" s="12"/>
      <c r="C141" s="12"/>
      <c r="D141" s="12"/>
      <c r="E141" s="12"/>
      <c r="F141" s="12"/>
      <c r="G141" s="12"/>
      <c r="H141" s="12"/>
      <c r="I141" s="12"/>
      <c r="J141" s="12"/>
      <c r="Y141" s="298"/>
    </row>
    <row r="142" spans="2:25" ht="15.75">
      <c r="B142" s="9" t="s">
        <v>246</v>
      </c>
      <c r="C142" s="63"/>
      <c r="D142" s="63"/>
      <c r="E142" s="63"/>
      <c r="F142" s="63"/>
      <c r="G142" s="63"/>
      <c r="H142" s="64">
        <v>0</v>
      </c>
      <c r="I142" s="64"/>
      <c r="J142" s="64"/>
      <c r="K142" s="116"/>
      <c r="L142" s="116"/>
      <c r="M142" s="116"/>
      <c r="N142" s="116"/>
      <c r="O142" s="230">
        <v>517069.59</v>
      </c>
      <c r="P142" s="204">
        <v>102231.28</v>
      </c>
      <c r="Q142" s="78">
        <v>352124.38</v>
      </c>
      <c r="R142" s="78">
        <v>71208.09</v>
      </c>
      <c r="S142" s="119"/>
      <c r="T142" s="119"/>
      <c r="U142" s="118">
        <v>119218.21</v>
      </c>
      <c r="V142" s="118">
        <v>18829.58</v>
      </c>
      <c r="W142" s="119"/>
      <c r="X142" s="119"/>
      <c r="Y142" s="118">
        <v>908762.41</v>
      </c>
    </row>
    <row r="143" spans="2:25" ht="15.75">
      <c r="B143" s="63" t="s">
        <v>247</v>
      </c>
      <c r="C143" s="63"/>
      <c r="D143" s="63"/>
      <c r="E143" s="63"/>
      <c r="F143" s="63"/>
      <c r="G143" s="63"/>
      <c r="H143" s="64">
        <v>0</v>
      </c>
      <c r="I143" s="64"/>
      <c r="J143" s="64"/>
      <c r="K143" s="116"/>
      <c r="L143" s="116"/>
      <c r="M143" s="116"/>
      <c r="N143" s="116"/>
      <c r="O143" s="230">
        <v>3611956.07</v>
      </c>
      <c r="P143" s="204">
        <v>3060629.2</v>
      </c>
      <c r="Q143" s="78">
        <v>2617395.71</v>
      </c>
      <c r="R143" s="78">
        <v>2748045.72</v>
      </c>
      <c r="S143" s="119"/>
      <c r="T143" s="119"/>
      <c r="U143" s="118">
        <v>1934912.33</v>
      </c>
      <c r="V143" s="118">
        <v>2139579.79</v>
      </c>
      <c r="W143" s="119"/>
      <c r="X143" s="119"/>
      <c r="Y143" s="118">
        <v>1407147.49</v>
      </c>
    </row>
    <row r="144" spans="2:25" ht="15.75">
      <c r="B144" s="63" t="s">
        <v>248</v>
      </c>
      <c r="C144" s="63"/>
      <c r="D144" s="63"/>
      <c r="E144" s="63"/>
      <c r="F144" s="63"/>
      <c r="G144" s="63"/>
      <c r="H144" s="64">
        <v>0</v>
      </c>
      <c r="I144" s="64"/>
      <c r="J144" s="64"/>
      <c r="K144" s="116"/>
      <c r="L144" s="116"/>
      <c r="M144" s="116"/>
      <c r="N144" s="116"/>
      <c r="O144" s="230">
        <v>1323.11</v>
      </c>
      <c r="P144" s="204">
        <v>3443.26</v>
      </c>
      <c r="Q144" s="78">
        <v>100952.87</v>
      </c>
      <c r="R144" s="78">
        <v>21504.38</v>
      </c>
      <c r="S144" s="119"/>
      <c r="T144" s="119"/>
      <c r="U144" s="118">
        <v>49487.71</v>
      </c>
      <c r="V144" s="118">
        <v>33983.52</v>
      </c>
      <c r="W144" s="119"/>
      <c r="X144" s="119"/>
      <c r="Y144" s="118">
        <v>75340.49</v>
      </c>
    </row>
    <row r="145" spans="2:25" ht="15.75">
      <c r="B145" s="63" t="s">
        <v>249</v>
      </c>
      <c r="C145" s="63"/>
      <c r="D145" s="63"/>
      <c r="E145" s="63"/>
      <c r="F145" s="63"/>
      <c r="G145" s="63"/>
      <c r="H145" s="64">
        <v>0</v>
      </c>
      <c r="I145" s="64"/>
      <c r="J145" s="64"/>
      <c r="K145" s="116"/>
      <c r="L145" s="116"/>
      <c r="M145" s="116"/>
      <c r="N145" s="116"/>
      <c r="O145" s="230">
        <v>897456.31</v>
      </c>
      <c r="P145" s="204">
        <v>723899.02</v>
      </c>
      <c r="Q145" s="78">
        <v>656486.04</v>
      </c>
      <c r="R145" s="78">
        <v>268308.8</v>
      </c>
      <c r="S145" s="119"/>
      <c r="T145" s="119"/>
      <c r="U145" s="118">
        <v>39577.77</v>
      </c>
      <c r="V145" s="118">
        <v>449452.45</v>
      </c>
      <c r="W145" s="119"/>
      <c r="X145" s="119"/>
      <c r="Y145" s="118">
        <v>78817.08</v>
      </c>
    </row>
    <row r="146" spans="2:25" ht="15.75">
      <c r="B146" s="63" t="s">
        <v>250</v>
      </c>
      <c r="C146" s="63"/>
      <c r="D146" s="63"/>
      <c r="E146" s="63"/>
      <c r="F146" s="63"/>
      <c r="G146" s="63"/>
      <c r="H146" s="64">
        <v>0</v>
      </c>
      <c r="I146" s="64"/>
      <c r="J146" s="64"/>
      <c r="K146" s="116"/>
      <c r="L146" s="116"/>
      <c r="M146" s="116"/>
      <c r="N146" s="116"/>
      <c r="O146" s="230">
        <v>138294.32</v>
      </c>
      <c r="P146" s="204">
        <v>116555.7</v>
      </c>
      <c r="Q146" s="78">
        <v>116883.7</v>
      </c>
      <c r="R146" s="78">
        <v>63066.3</v>
      </c>
      <c r="S146" s="119"/>
      <c r="T146" s="119"/>
      <c r="U146" s="118">
        <v>46421.5</v>
      </c>
      <c r="V146" s="118">
        <v>28934.52</v>
      </c>
      <c r="W146" s="119"/>
      <c r="X146" s="119"/>
      <c r="Y146" s="118">
        <v>51261.82</v>
      </c>
    </row>
    <row r="147" spans="2:25" ht="15.75">
      <c r="B147" s="63" t="s">
        <v>251</v>
      </c>
      <c r="C147" s="63"/>
      <c r="D147" s="63"/>
      <c r="E147" s="63"/>
      <c r="F147" s="63"/>
      <c r="G147" s="63"/>
      <c r="H147" s="64">
        <v>0</v>
      </c>
      <c r="I147" s="64"/>
      <c r="J147" s="64"/>
      <c r="K147" s="116"/>
      <c r="L147" s="116"/>
      <c r="M147" s="116"/>
      <c r="N147" s="116"/>
      <c r="O147" s="230">
        <v>438499.63</v>
      </c>
      <c r="P147" s="204">
        <v>133401.16</v>
      </c>
      <c r="Q147" s="78">
        <v>361649.89</v>
      </c>
      <c r="R147" s="78">
        <v>182627.44</v>
      </c>
      <c r="S147" s="119"/>
      <c r="T147" s="119"/>
      <c r="U147" s="118">
        <v>163708.98</v>
      </c>
      <c r="V147" s="118">
        <v>926.21</v>
      </c>
      <c r="W147" s="119"/>
      <c r="X147" s="119"/>
      <c r="Y147" s="118">
        <v>274115.69</v>
      </c>
    </row>
    <row r="148" spans="2:25" ht="15.75">
      <c r="B148" s="63" t="s">
        <v>252</v>
      </c>
      <c r="C148" s="63"/>
      <c r="D148" s="63"/>
      <c r="E148" s="63"/>
      <c r="F148" s="63"/>
      <c r="G148" s="63"/>
      <c r="H148" s="64">
        <v>0</v>
      </c>
      <c r="I148" s="64"/>
      <c r="J148" s="64"/>
      <c r="K148" s="116"/>
      <c r="L148" s="116"/>
      <c r="M148" s="116"/>
      <c r="N148" s="116"/>
      <c r="O148" s="230">
        <v>767162.64</v>
      </c>
      <c r="P148" s="204">
        <v>425451.11</v>
      </c>
      <c r="Q148" s="78">
        <v>374255.5</v>
      </c>
      <c r="R148" s="78">
        <v>348894.19</v>
      </c>
      <c r="S148" s="119"/>
      <c r="T148" s="119"/>
      <c r="U148" s="118">
        <v>140904.94</v>
      </c>
      <c r="V148" s="118">
        <v>161427.18</v>
      </c>
      <c r="W148" s="119"/>
      <c r="X148" s="119"/>
      <c r="Y148" s="118">
        <v>94277.5</v>
      </c>
    </row>
    <row r="149" spans="2:25" ht="15.75">
      <c r="B149" s="63" t="s">
        <v>253</v>
      </c>
      <c r="C149" s="63"/>
      <c r="D149" s="63"/>
      <c r="E149" s="63"/>
      <c r="F149" s="63"/>
      <c r="G149" s="63"/>
      <c r="H149" s="64">
        <v>0</v>
      </c>
      <c r="I149" s="64"/>
      <c r="J149" s="64"/>
      <c r="K149" s="116"/>
      <c r="L149" s="116"/>
      <c r="M149" s="116"/>
      <c r="N149" s="116"/>
      <c r="O149" s="230">
        <v>1054871.35</v>
      </c>
      <c r="P149" s="204">
        <v>522037.53</v>
      </c>
      <c r="Q149" s="78">
        <v>726117.41</v>
      </c>
      <c r="R149" s="78">
        <v>729809.15</v>
      </c>
      <c r="S149" s="119"/>
      <c r="T149" s="119"/>
      <c r="U149" s="118">
        <v>324268.07</v>
      </c>
      <c r="V149" s="118">
        <v>367550.46</v>
      </c>
      <c r="W149" s="119"/>
      <c r="X149" s="119"/>
      <c r="Y149" s="118">
        <v>141568.66</v>
      </c>
    </row>
    <row r="150" spans="2:25" ht="21" thickBot="1">
      <c r="B150" s="186" t="s">
        <v>254</v>
      </c>
      <c r="C150" s="63"/>
      <c r="D150" s="63"/>
      <c r="E150" s="63"/>
      <c r="F150" s="63"/>
      <c r="G150" s="63"/>
      <c r="H150" s="69">
        <f>SUM(H142:H149)</f>
        <v>0</v>
      </c>
      <c r="I150" s="76"/>
      <c r="J150" s="76"/>
      <c r="K150" s="116"/>
      <c r="L150" s="116"/>
      <c r="M150" s="116"/>
      <c r="N150" s="116"/>
      <c r="O150" s="205">
        <f>SUM(O142:O149)</f>
        <v>7426633.02</v>
      </c>
      <c r="P150" s="205">
        <f>SUM(P142:P149)</f>
        <v>5087648.260000001</v>
      </c>
      <c r="Q150" s="205">
        <f>SUM(Q142:Q149)</f>
        <v>5305865.5</v>
      </c>
      <c r="R150" s="205">
        <f>SUM(R142:R149)</f>
        <v>4433464.069999999</v>
      </c>
      <c r="S150" s="119"/>
      <c r="T150" s="119"/>
      <c r="U150" s="313">
        <f>SUM(U142:U149)</f>
        <v>2818499.51</v>
      </c>
      <c r="V150" s="313">
        <f>SUM(V142:V149)</f>
        <v>3200683.7100000004</v>
      </c>
      <c r="W150" s="119"/>
      <c r="X150" s="119"/>
      <c r="Y150" s="313">
        <f>SUM(Y142:Y149)</f>
        <v>3031291.14</v>
      </c>
    </row>
    <row r="151" spans="2:25" ht="15.75" thickTop="1">
      <c r="B151" s="12"/>
      <c r="C151" s="12"/>
      <c r="D151" s="12"/>
      <c r="E151" s="12"/>
      <c r="F151" s="12"/>
      <c r="G151" s="12"/>
      <c r="H151" s="12"/>
      <c r="I151" s="12"/>
      <c r="J151" s="12"/>
      <c r="Y151" s="298"/>
    </row>
    <row r="152" spans="2:25" ht="18.75">
      <c r="B152" s="113" t="s">
        <v>567</v>
      </c>
      <c r="C152" s="135"/>
      <c r="D152" s="135"/>
      <c r="E152" s="135"/>
      <c r="F152" s="135"/>
      <c r="G152" s="135"/>
      <c r="H152" s="135"/>
      <c r="I152" s="135"/>
      <c r="J152" s="135"/>
      <c r="K152" s="137"/>
      <c r="L152" s="137"/>
      <c r="M152" s="137"/>
      <c r="N152" s="137"/>
      <c r="O152" s="614" t="s">
        <v>660</v>
      </c>
      <c r="P152" s="614"/>
      <c r="Q152" s="614"/>
      <c r="R152" s="225"/>
      <c r="S152" s="306"/>
      <c r="T152" s="306"/>
      <c r="U152" s="289">
        <v>2018</v>
      </c>
      <c r="V152" s="307">
        <v>2017</v>
      </c>
      <c r="W152" s="312"/>
      <c r="X152" s="312"/>
      <c r="Y152" s="307">
        <v>2016</v>
      </c>
    </row>
    <row r="153" spans="2:25" ht="20.25">
      <c r="B153" s="186" t="s">
        <v>112</v>
      </c>
      <c r="C153" s="135"/>
      <c r="D153" s="135"/>
      <c r="E153" s="135"/>
      <c r="F153" s="135"/>
      <c r="G153" s="135"/>
      <c r="H153" s="135"/>
      <c r="I153" s="135"/>
      <c r="J153" s="135"/>
      <c r="K153" s="137"/>
      <c r="L153" s="137"/>
      <c r="M153" s="137"/>
      <c r="N153" s="137"/>
      <c r="O153" s="114">
        <v>2022</v>
      </c>
      <c r="P153" s="114">
        <v>2021</v>
      </c>
      <c r="Q153" s="114">
        <v>2020</v>
      </c>
      <c r="R153" s="114">
        <v>2019</v>
      </c>
      <c r="S153" s="306"/>
      <c r="T153" s="306"/>
      <c r="U153" s="306"/>
      <c r="V153" s="306"/>
      <c r="W153" s="306"/>
      <c r="X153" s="306"/>
      <c r="Y153" s="308"/>
    </row>
    <row r="154" spans="2:25" ht="15.75">
      <c r="B154" s="63" t="s">
        <v>113</v>
      </c>
      <c r="C154" s="12"/>
      <c r="D154" s="12"/>
      <c r="E154" s="12"/>
      <c r="F154" s="12"/>
      <c r="G154" s="12"/>
      <c r="H154" s="12"/>
      <c r="I154" s="12"/>
      <c r="J154" s="12"/>
      <c r="Y154" s="298"/>
    </row>
    <row r="155" spans="2:25" ht="15">
      <c r="B155" s="12"/>
      <c r="C155" s="12"/>
      <c r="D155" s="12"/>
      <c r="E155" s="12"/>
      <c r="F155" s="12"/>
      <c r="G155" s="12"/>
      <c r="H155" s="12"/>
      <c r="I155" s="12"/>
      <c r="J155" s="12"/>
      <c r="Y155" s="298"/>
    </row>
    <row r="156" spans="2:25" ht="15.75">
      <c r="B156" s="63" t="s">
        <v>901</v>
      </c>
      <c r="C156" s="63"/>
      <c r="D156" s="63"/>
      <c r="E156" s="63"/>
      <c r="F156" s="63"/>
      <c r="G156" s="63"/>
      <c r="H156" s="64">
        <v>2455.88</v>
      </c>
      <c r="I156" s="64"/>
      <c r="J156" s="64"/>
      <c r="K156" s="116"/>
      <c r="L156" s="116"/>
      <c r="M156" s="116"/>
      <c r="N156" s="116"/>
      <c r="O156" s="230">
        <v>941085.88</v>
      </c>
      <c r="P156" s="204">
        <v>611300.7</v>
      </c>
      <c r="Q156" s="78">
        <v>677302.39</v>
      </c>
      <c r="R156" s="78">
        <v>705863.58</v>
      </c>
      <c r="S156" s="119"/>
      <c r="T156" s="119"/>
      <c r="U156" s="118">
        <v>685401.08</v>
      </c>
      <c r="V156" s="118">
        <v>501489.76</v>
      </c>
      <c r="W156" s="119"/>
      <c r="X156" s="119"/>
      <c r="Y156" s="118">
        <v>450046.41</v>
      </c>
    </row>
    <row r="157" spans="2:25" ht="15.75">
      <c r="B157" s="63" t="s">
        <v>114</v>
      </c>
      <c r="C157" s="63"/>
      <c r="D157" s="63"/>
      <c r="E157" s="63"/>
      <c r="F157" s="63"/>
      <c r="G157" s="63"/>
      <c r="H157" s="64">
        <v>120167.85</v>
      </c>
      <c r="I157" s="64"/>
      <c r="J157" s="64"/>
      <c r="K157" s="116"/>
      <c r="L157" s="116"/>
      <c r="M157" s="116"/>
      <c r="N157" s="116"/>
      <c r="O157" s="230">
        <v>711850.23</v>
      </c>
      <c r="P157" s="204">
        <v>786046.09</v>
      </c>
      <c r="Q157" s="78">
        <v>711184.45</v>
      </c>
      <c r="R157" s="78">
        <v>709977.32</v>
      </c>
      <c r="S157" s="119"/>
      <c r="T157" s="119"/>
      <c r="U157" s="118">
        <v>764763.35</v>
      </c>
      <c r="V157" s="118">
        <v>736984.56</v>
      </c>
      <c r="W157" s="119"/>
      <c r="X157" s="119"/>
      <c r="Y157" s="118">
        <v>736984.56</v>
      </c>
    </row>
    <row r="158" spans="2:25" ht="15.75">
      <c r="B158" s="63" t="s">
        <v>115</v>
      </c>
      <c r="C158" s="63"/>
      <c r="D158" s="63"/>
      <c r="E158" s="63"/>
      <c r="F158" s="63"/>
      <c r="G158" s="63"/>
      <c r="H158" s="64">
        <v>9649.65</v>
      </c>
      <c r="I158" s="64"/>
      <c r="J158" s="64"/>
      <c r="K158" s="116"/>
      <c r="L158" s="116"/>
      <c r="M158" s="116"/>
      <c r="N158" s="116"/>
      <c r="O158" s="230"/>
      <c r="P158" s="204">
        <v>9166.77</v>
      </c>
      <c r="Q158" s="78">
        <v>9166.75</v>
      </c>
      <c r="R158" s="78">
        <v>9134.74</v>
      </c>
      <c r="S158" s="119"/>
      <c r="T158" s="119"/>
      <c r="U158" s="118">
        <v>9649.64</v>
      </c>
      <c r="V158" s="118">
        <v>9649.57</v>
      </c>
      <c r="W158" s="119"/>
      <c r="X158" s="119"/>
      <c r="Y158" s="118">
        <v>9649.6</v>
      </c>
    </row>
    <row r="159" spans="1:25" ht="15.75">
      <c r="A159" s="172" t="s">
        <v>97</v>
      </c>
      <c r="B159" s="63" t="s">
        <v>274</v>
      </c>
      <c r="C159" s="63"/>
      <c r="D159" s="63"/>
      <c r="E159" s="63"/>
      <c r="F159" s="63"/>
      <c r="G159" s="63"/>
      <c r="H159" s="64">
        <v>30383.94</v>
      </c>
      <c r="I159" s="64"/>
      <c r="J159" s="64"/>
      <c r="K159" s="116"/>
      <c r="L159" s="116"/>
      <c r="M159" s="116"/>
      <c r="N159" s="116"/>
      <c r="O159" s="230">
        <v>11081.62</v>
      </c>
      <c r="P159" s="204"/>
      <c r="Q159" s="78">
        <v>28484.95</v>
      </c>
      <c r="R159" s="78">
        <v>28178.78</v>
      </c>
      <c r="S159" s="119"/>
      <c r="T159" s="119"/>
      <c r="U159" s="118">
        <v>30383.96</v>
      </c>
      <c r="V159" s="118">
        <v>30383.96</v>
      </c>
      <c r="W159" s="119"/>
      <c r="X159" s="119"/>
      <c r="Y159" s="118">
        <v>30383.95</v>
      </c>
    </row>
    <row r="160" spans="2:25" ht="16.5" thickBot="1">
      <c r="B160" s="63" t="s">
        <v>116</v>
      </c>
      <c r="C160" s="63"/>
      <c r="D160" s="63"/>
      <c r="E160" s="63"/>
      <c r="F160" s="63"/>
      <c r="G160" s="63"/>
      <c r="H160" s="64">
        <v>42000</v>
      </c>
      <c r="I160" s="64"/>
      <c r="J160" s="64"/>
      <c r="K160" s="116"/>
      <c r="L160" s="116"/>
      <c r="M160" s="116"/>
      <c r="N160" s="116"/>
      <c r="O160" s="91">
        <v>42000</v>
      </c>
      <c r="P160" s="91">
        <v>42000</v>
      </c>
      <c r="Q160" s="91">
        <v>42000</v>
      </c>
      <c r="R160" s="89">
        <v>42000</v>
      </c>
      <c r="S160" s="119"/>
      <c r="T160" s="119"/>
      <c r="U160" s="296">
        <v>42000</v>
      </c>
      <c r="V160" s="296">
        <v>42000</v>
      </c>
      <c r="W160" s="119"/>
      <c r="X160" s="119"/>
      <c r="Y160" s="296">
        <v>42000</v>
      </c>
    </row>
    <row r="161" spans="2:41" s="172" customFormat="1" ht="16.5" thickBot="1">
      <c r="B161" s="63" t="s">
        <v>685</v>
      </c>
      <c r="C161" s="63"/>
      <c r="D161" s="63"/>
      <c r="E161" s="63"/>
      <c r="F161" s="63"/>
      <c r="G161" s="63"/>
      <c r="H161" s="64"/>
      <c r="I161" s="64"/>
      <c r="J161" s="64"/>
      <c r="K161" s="132"/>
      <c r="L161" s="132"/>
      <c r="M161" s="132"/>
      <c r="N161" s="132"/>
      <c r="O161" s="89">
        <f>121600-10133.34-675.56</f>
        <v>110791.1</v>
      </c>
      <c r="P161" s="89">
        <v>892482.68</v>
      </c>
      <c r="Q161" s="89">
        <v>0</v>
      </c>
      <c r="R161" s="91"/>
      <c r="S161" s="119"/>
      <c r="T161" s="119"/>
      <c r="U161" s="314"/>
      <c r="V161" s="314"/>
      <c r="W161" s="119"/>
      <c r="X161" s="119"/>
      <c r="Y161" s="314"/>
      <c r="Z161" s="129"/>
      <c r="AA161" s="129"/>
      <c r="AB161" s="129"/>
      <c r="AC161" s="129"/>
      <c r="AD161" s="129"/>
      <c r="AE161" s="129"/>
      <c r="AF161" s="129"/>
      <c r="AL161" s="129"/>
      <c r="AM161" s="344"/>
      <c r="AN161" s="129"/>
      <c r="AO161" s="129"/>
    </row>
    <row r="162" spans="2:25" ht="21" thickBot="1">
      <c r="B162" s="186" t="s">
        <v>117</v>
      </c>
      <c r="C162" s="63"/>
      <c r="D162" s="63"/>
      <c r="E162" s="63"/>
      <c r="F162" s="63"/>
      <c r="G162" s="63"/>
      <c r="H162" s="69">
        <f>SUM(H156:H160)</f>
        <v>204657.32</v>
      </c>
      <c r="I162" s="76"/>
      <c r="J162" s="76"/>
      <c r="K162" s="116"/>
      <c r="L162" s="116"/>
      <c r="M162" s="116"/>
      <c r="N162" s="116"/>
      <c r="O162" s="205">
        <f>SUM(O156:O161)</f>
        <v>1816808.83</v>
      </c>
      <c r="P162" s="205">
        <f>SUM(P156:P161)</f>
        <v>2340996.24</v>
      </c>
      <c r="Q162" s="205">
        <f>SUM(Q156:Q160)</f>
        <v>1468138.5399999998</v>
      </c>
      <c r="R162" s="205">
        <f>SUM(R156:R160)</f>
        <v>1495154.42</v>
      </c>
      <c r="S162" s="119"/>
      <c r="T162" s="119"/>
      <c r="U162" s="313">
        <f>SUM(U156:U160)</f>
        <v>1532198.0299999998</v>
      </c>
      <c r="V162" s="313">
        <f>SUM(V156:V160)</f>
        <v>1320507.85</v>
      </c>
      <c r="W162" s="119"/>
      <c r="X162" s="119"/>
      <c r="Y162" s="313">
        <f>SUM(Y156:Y160)</f>
        <v>1269064.52</v>
      </c>
    </row>
    <row r="163" spans="2:25" ht="17.25" thickTop="1">
      <c r="B163" s="75"/>
      <c r="C163" s="12"/>
      <c r="D163" s="12"/>
      <c r="E163" s="12"/>
      <c r="F163" s="12"/>
      <c r="G163" s="12"/>
      <c r="H163" s="140"/>
      <c r="I163" s="140"/>
      <c r="J163" s="140"/>
      <c r="Y163" s="298"/>
    </row>
    <row r="164" spans="2:41" s="172" customFormat="1" ht="16.5">
      <c r="B164" s="75"/>
      <c r="C164" s="12"/>
      <c r="D164" s="12"/>
      <c r="E164" s="12"/>
      <c r="F164" s="12"/>
      <c r="G164" s="12"/>
      <c r="H164" s="140"/>
      <c r="I164" s="140"/>
      <c r="J164" s="140"/>
      <c r="S164" s="129"/>
      <c r="T164" s="129"/>
      <c r="U164" s="129"/>
      <c r="V164" s="129"/>
      <c r="W164" s="129"/>
      <c r="X164" s="129"/>
      <c r="Y164" s="298"/>
      <c r="Z164" s="129"/>
      <c r="AA164" s="129"/>
      <c r="AB164" s="129"/>
      <c r="AC164" s="129"/>
      <c r="AD164" s="129"/>
      <c r="AE164" s="129"/>
      <c r="AF164" s="129"/>
      <c r="AL164" s="129"/>
      <c r="AM164" s="344"/>
      <c r="AN164" s="129"/>
      <c r="AO164" s="129"/>
    </row>
    <row r="165" spans="2:41" s="172" customFormat="1" ht="16.5">
      <c r="B165" s="75"/>
      <c r="C165" s="12"/>
      <c r="D165" s="12"/>
      <c r="E165" s="12"/>
      <c r="F165" s="12"/>
      <c r="G165" s="12"/>
      <c r="H165" s="140"/>
      <c r="I165" s="140"/>
      <c r="J165" s="140"/>
      <c r="S165" s="129"/>
      <c r="T165" s="129"/>
      <c r="U165" s="129"/>
      <c r="V165" s="129"/>
      <c r="W165" s="129"/>
      <c r="X165" s="129"/>
      <c r="Y165" s="298"/>
      <c r="Z165" s="129"/>
      <c r="AA165" s="129"/>
      <c r="AB165" s="129"/>
      <c r="AC165" s="129"/>
      <c r="AD165" s="129"/>
      <c r="AE165" s="129"/>
      <c r="AF165" s="129"/>
      <c r="AL165" s="129"/>
      <c r="AM165" s="344"/>
      <c r="AN165" s="129"/>
      <c r="AO165" s="129"/>
    </row>
    <row r="166" spans="2:41" s="172" customFormat="1" ht="16.5">
      <c r="B166" s="176" t="s">
        <v>1133</v>
      </c>
      <c r="S166" s="129"/>
      <c r="T166" s="129"/>
      <c r="U166" s="129"/>
      <c r="V166" s="129"/>
      <c r="W166" s="129"/>
      <c r="X166" s="129"/>
      <c r="Y166" s="298"/>
      <c r="Z166" s="129"/>
      <c r="AA166" s="129"/>
      <c r="AB166" s="129"/>
      <c r="AC166" s="129"/>
      <c r="AD166" s="129"/>
      <c r="AE166" s="129"/>
      <c r="AF166" s="129"/>
      <c r="AL166" s="129"/>
      <c r="AM166" s="344"/>
      <c r="AN166" s="129"/>
      <c r="AO166" s="129"/>
    </row>
    <row r="167" spans="2:41" s="172" customFormat="1" ht="16.5">
      <c r="B167" s="176" t="s">
        <v>1137</v>
      </c>
      <c r="S167" s="129"/>
      <c r="T167" s="129"/>
      <c r="U167" s="129"/>
      <c r="V167" s="129"/>
      <c r="W167" s="129"/>
      <c r="X167" s="129"/>
      <c r="Y167" s="298"/>
      <c r="Z167" s="129"/>
      <c r="AA167" s="129"/>
      <c r="AB167" s="129"/>
      <c r="AC167" s="129"/>
      <c r="AD167" s="129"/>
      <c r="AE167" s="129"/>
      <c r="AF167" s="129"/>
      <c r="AL167" s="129"/>
      <c r="AM167" s="344"/>
      <c r="AN167" s="129"/>
      <c r="AO167" s="129"/>
    </row>
    <row r="168" spans="1:41" s="172" customFormat="1" ht="16.5">
      <c r="A168" s="230"/>
      <c r="B168" s="75" t="s">
        <v>1138</v>
      </c>
      <c r="C168" s="12"/>
      <c r="D168" s="12"/>
      <c r="E168" s="12"/>
      <c r="F168" s="12"/>
      <c r="G168" s="12"/>
      <c r="H168" s="140"/>
      <c r="I168" s="140"/>
      <c r="J168" s="140"/>
      <c r="S168" s="129"/>
      <c r="T168" s="129"/>
      <c r="U168" s="129"/>
      <c r="V168" s="129"/>
      <c r="W168" s="129"/>
      <c r="X168" s="129"/>
      <c r="Y168" s="298"/>
      <c r="Z168" s="129"/>
      <c r="AA168" s="129"/>
      <c r="AB168" s="129"/>
      <c r="AC168" s="129"/>
      <c r="AD168" s="129"/>
      <c r="AE168" s="129"/>
      <c r="AF168" s="129"/>
      <c r="AL168" s="129"/>
      <c r="AM168" s="344"/>
      <c r="AN168" s="129"/>
      <c r="AO168" s="129"/>
    </row>
    <row r="169" spans="1:41" s="172" customFormat="1" ht="18.75">
      <c r="A169" s="132"/>
      <c r="B169" s="113" t="s">
        <v>597</v>
      </c>
      <c r="C169" s="12"/>
      <c r="D169" s="12"/>
      <c r="E169" s="12"/>
      <c r="F169" s="12"/>
      <c r="G169" s="12"/>
      <c r="H169" s="140"/>
      <c r="I169" s="140"/>
      <c r="J169" s="140"/>
      <c r="O169" s="614" t="s">
        <v>660</v>
      </c>
      <c r="P169" s="614"/>
      <c r="Q169" s="614"/>
      <c r="S169" s="129"/>
      <c r="T169" s="129"/>
      <c r="U169" s="129"/>
      <c r="V169" s="129"/>
      <c r="W169" s="129"/>
      <c r="X169" s="129"/>
      <c r="Y169" s="298"/>
      <c r="Z169" s="129"/>
      <c r="AA169" s="129"/>
      <c r="AB169" s="129"/>
      <c r="AC169" s="129"/>
      <c r="AD169" s="129"/>
      <c r="AE169" s="129"/>
      <c r="AF169" s="129"/>
      <c r="AL169" s="129"/>
      <c r="AM169" s="344"/>
      <c r="AN169" s="129"/>
      <c r="AO169" s="129"/>
    </row>
    <row r="170" spans="1:41" s="515" customFormat="1" ht="18.75">
      <c r="A170" s="520"/>
      <c r="B170" s="75"/>
      <c r="C170" s="12"/>
      <c r="D170" s="12"/>
      <c r="E170" s="12"/>
      <c r="F170" s="12"/>
      <c r="G170" s="12"/>
      <c r="H170" s="140"/>
      <c r="I170" s="140"/>
      <c r="J170" s="140"/>
      <c r="O170" s="114">
        <v>2022</v>
      </c>
      <c r="P170" s="114">
        <v>2021</v>
      </c>
      <c r="Q170" s="114">
        <v>2020</v>
      </c>
      <c r="S170" s="521"/>
      <c r="T170" s="521"/>
      <c r="U170" s="521"/>
      <c r="V170" s="521"/>
      <c r="W170" s="521"/>
      <c r="X170" s="521"/>
      <c r="Y170" s="298"/>
      <c r="Z170" s="521"/>
      <c r="AA170" s="521"/>
      <c r="AB170" s="521"/>
      <c r="AC170" s="521"/>
      <c r="AD170" s="521"/>
      <c r="AE170" s="521"/>
      <c r="AF170" s="521"/>
      <c r="AL170" s="521"/>
      <c r="AM170" s="344"/>
      <c r="AN170" s="521"/>
      <c r="AO170" s="521"/>
    </row>
    <row r="171" spans="1:41" s="515" customFormat="1" ht="18.75">
      <c r="A171" s="520"/>
      <c r="B171" s="75"/>
      <c r="C171" s="12"/>
      <c r="D171" s="12"/>
      <c r="E171" s="12"/>
      <c r="F171" s="12"/>
      <c r="G171" s="12"/>
      <c r="H171" s="140"/>
      <c r="I171" s="140"/>
      <c r="J171" s="140"/>
      <c r="O171" s="114"/>
      <c r="P171" s="114"/>
      <c r="Q171" s="114"/>
      <c r="S171" s="521"/>
      <c r="T171" s="521"/>
      <c r="U171" s="521"/>
      <c r="V171" s="521"/>
      <c r="W171" s="521"/>
      <c r="X171" s="521"/>
      <c r="Y171" s="298"/>
      <c r="Z171" s="521"/>
      <c r="AA171" s="521"/>
      <c r="AB171" s="521"/>
      <c r="AC171" s="521"/>
      <c r="AD171" s="521"/>
      <c r="AE171" s="521"/>
      <c r="AF171" s="521"/>
      <c r="AL171" s="521"/>
      <c r="AM171" s="344"/>
      <c r="AN171" s="521"/>
      <c r="AO171" s="521"/>
    </row>
    <row r="172" spans="1:41" s="515" customFormat="1" ht="16.5">
      <c r="A172" s="520"/>
      <c r="B172" s="63" t="s">
        <v>819</v>
      </c>
      <c r="C172" s="12"/>
      <c r="D172" s="12"/>
      <c r="E172" s="12"/>
      <c r="F172" s="12"/>
      <c r="G172" s="12"/>
      <c r="H172" s="140"/>
      <c r="I172" s="140"/>
      <c r="J172" s="140"/>
      <c r="O172" s="88">
        <v>12579325.97</v>
      </c>
      <c r="P172" s="88">
        <v>12579325.97</v>
      </c>
      <c r="S172" s="521"/>
      <c r="T172" s="521"/>
      <c r="U172" s="521"/>
      <c r="V172" s="521"/>
      <c r="W172" s="521"/>
      <c r="X172" s="521"/>
      <c r="Y172" s="298"/>
      <c r="Z172" s="521"/>
      <c r="AA172" s="521"/>
      <c r="AB172" s="521"/>
      <c r="AC172" s="521"/>
      <c r="AD172" s="521"/>
      <c r="AE172" s="521"/>
      <c r="AF172" s="521"/>
      <c r="AL172" s="521"/>
      <c r="AM172" s="344"/>
      <c r="AN172" s="521"/>
      <c r="AO172" s="521"/>
    </row>
    <row r="173" spans="1:41" s="515" customFormat="1" ht="21" thickBot="1">
      <c r="A173" s="520"/>
      <c r="B173" s="186" t="s">
        <v>1134</v>
      </c>
      <c r="C173" s="12"/>
      <c r="D173" s="12"/>
      <c r="E173" s="12"/>
      <c r="F173" s="12"/>
      <c r="G173" s="12"/>
      <c r="H173" s="140"/>
      <c r="I173" s="140"/>
      <c r="J173" s="140"/>
      <c r="O173" s="205">
        <f>SUM(O172)</f>
        <v>12579325.97</v>
      </c>
      <c r="P173" s="205">
        <f>SUM(P172)</f>
        <v>12579325.97</v>
      </c>
      <c r="S173" s="521"/>
      <c r="T173" s="521"/>
      <c r="U173" s="521"/>
      <c r="V173" s="521"/>
      <c r="W173" s="521"/>
      <c r="X173" s="521"/>
      <c r="Y173" s="298"/>
      <c r="Z173" s="521"/>
      <c r="AA173" s="521"/>
      <c r="AB173" s="521"/>
      <c r="AC173" s="521"/>
      <c r="AD173" s="521"/>
      <c r="AE173" s="521"/>
      <c r="AF173" s="521"/>
      <c r="AL173" s="521"/>
      <c r="AM173" s="344"/>
      <c r="AN173" s="521"/>
      <c r="AO173" s="521"/>
    </row>
    <row r="174" spans="1:41" s="515" customFormat="1" ht="17.25" thickTop="1">
      <c r="A174" s="520"/>
      <c r="B174" s="75"/>
      <c r="C174" s="12"/>
      <c r="D174" s="12"/>
      <c r="E174" s="12"/>
      <c r="F174" s="12"/>
      <c r="G174" s="12"/>
      <c r="H174" s="140"/>
      <c r="I174" s="140"/>
      <c r="J174" s="140"/>
      <c r="S174" s="521"/>
      <c r="T174" s="521"/>
      <c r="U174" s="521"/>
      <c r="V174" s="521"/>
      <c r="W174" s="521"/>
      <c r="X174" s="521"/>
      <c r="Y174" s="298"/>
      <c r="Z174" s="521"/>
      <c r="AA174" s="521"/>
      <c r="AB174" s="521"/>
      <c r="AC174" s="521"/>
      <c r="AD174" s="521"/>
      <c r="AE174" s="521"/>
      <c r="AF174" s="521"/>
      <c r="AL174" s="521"/>
      <c r="AM174" s="344"/>
      <c r="AN174" s="521"/>
      <c r="AO174" s="521"/>
    </row>
    <row r="175" spans="1:41" s="515" customFormat="1" ht="16.5">
      <c r="A175" s="520"/>
      <c r="B175" s="75"/>
      <c r="C175" s="12"/>
      <c r="D175" s="12"/>
      <c r="E175" s="12"/>
      <c r="F175" s="12"/>
      <c r="G175" s="12"/>
      <c r="H175" s="140"/>
      <c r="I175" s="140"/>
      <c r="J175" s="140"/>
      <c r="S175" s="521"/>
      <c r="T175" s="521"/>
      <c r="U175" s="521"/>
      <c r="V175" s="521"/>
      <c r="W175" s="521"/>
      <c r="X175" s="521"/>
      <c r="Y175" s="298"/>
      <c r="Z175" s="521"/>
      <c r="AA175" s="521"/>
      <c r="AB175" s="521"/>
      <c r="AC175" s="521"/>
      <c r="AD175" s="521"/>
      <c r="AE175" s="521"/>
      <c r="AF175" s="521"/>
      <c r="AL175" s="521"/>
      <c r="AM175" s="344"/>
      <c r="AN175" s="521"/>
      <c r="AO175" s="521"/>
    </row>
    <row r="176" spans="1:25" ht="18.75">
      <c r="A176" s="91"/>
      <c r="B176" s="113" t="s">
        <v>597</v>
      </c>
      <c r="C176" s="135"/>
      <c r="D176" s="135"/>
      <c r="E176" s="135"/>
      <c r="F176" s="135"/>
      <c r="G176" s="135"/>
      <c r="H176" s="141"/>
      <c r="I176" s="141"/>
      <c r="J176" s="141"/>
      <c r="K176" s="137"/>
      <c r="L176" s="137"/>
      <c r="M176" s="137"/>
      <c r="N176" s="137"/>
      <c r="O176" s="614" t="s">
        <v>660</v>
      </c>
      <c r="P176" s="614"/>
      <c r="Q176" s="614"/>
      <c r="S176" s="306"/>
      <c r="T176" s="306"/>
      <c r="U176" s="289">
        <v>2018</v>
      </c>
      <c r="V176" s="307">
        <v>2017</v>
      </c>
      <c r="W176" s="312"/>
      <c r="X176" s="312"/>
      <c r="Y176" s="307">
        <v>2016</v>
      </c>
    </row>
    <row r="177" spans="1:25" ht="20.25">
      <c r="A177" s="421"/>
      <c r="B177" s="186" t="s">
        <v>507</v>
      </c>
      <c r="C177" s="135"/>
      <c r="D177" s="135"/>
      <c r="E177" s="135"/>
      <c r="F177" s="135"/>
      <c r="G177" s="135"/>
      <c r="H177" s="135"/>
      <c r="I177" s="135"/>
      <c r="J177" s="135"/>
      <c r="K177" s="137"/>
      <c r="L177" s="137"/>
      <c r="M177" s="137"/>
      <c r="N177" s="137"/>
      <c r="O177" s="114">
        <v>2022</v>
      </c>
      <c r="P177" s="114">
        <v>2021</v>
      </c>
      <c r="Q177" s="114">
        <v>2020</v>
      </c>
      <c r="R177" s="114">
        <v>2019</v>
      </c>
      <c r="S177" s="306"/>
      <c r="T177" s="306"/>
      <c r="U177" s="306"/>
      <c r="V177" s="306"/>
      <c r="W177" s="306"/>
      <c r="X177" s="306"/>
      <c r="Y177" s="308"/>
    </row>
    <row r="178" spans="1:25" ht="15">
      <c r="A178" s="56"/>
      <c r="B178" s="12" t="s">
        <v>113</v>
      </c>
      <c r="C178" s="12"/>
      <c r="D178" s="12"/>
      <c r="E178" s="12"/>
      <c r="F178" s="12"/>
      <c r="G178" s="12"/>
      <c r="H178" s="12"/>
      <c r="I178" s="12"/>
      <c r="J178" s="12"/>
      <c r="Y178" s="298"/>
    </row>
    <row r="179" spans="2:25" ht="15.75">
      <c r="B179" s="63" t="s">
        <v>508</v>
      </c>
      <c r="C179" s="63"/>
      <c r="D179" s="63"/>
      <c r="E179" s="63"/>
      <c r="F179" s="63"/>
      <c r="G179" s="63"/>
      <c r="H179" s="64"/>
      <c r="I179" s="64"/>
      <c r="J179" s="64"/>
      <c r="K179" s="116"/>
      <c r="L179" s="116"/>
      <c r="M179" s="116"/>
      <c r="N179" s="116"/>
      <c r="O179" s="230">
        <v>14669381.66</v>
      </c>
      <c r="P179" s="204">
        <v>14669381.66</v>
      </c>
      <c r="Q179" s="78">
        <v>14828962.13</v>
      </c>
      <c r="R179" s="78">
        <v>14828962.13</v>
      </c>
      <c r="S179" s="119"/>
      <c r="T179" s="119"/>
      <c r="U179" s="118">
        <v>14669381.66</v>
      </c>
      <c r="V179" s="118">
        <v>14669381.66</v>
      </c>
      <c r="W179" s="119"/>
      <c r="X179" s="119"/>
      <c r="Y179" s="118">
        <v>14669381.66</v>
      </c>
    </row>
    <row r="180" spans="2:25" ht="16.5">
      <c r="B180" s="75" t="s">
        <v>26</v>
      </c>
      <c r="C180" s="63"/>
      <c r="D180" s="63"/>
      <c r="E180" s="63"/>
      <c r="F180" s="63"/>
      <c r="G180" s="63"/>
      <c r="H180" s="64"/>
      <c r="I180" s="64"/>
      <c r="J180" s="64"/>
      <c r="K180" s="116"/>
      <c r="L180" s="116"/>
      <c r="M180" s="116"/>
      <c r="N180" s="116"/>
      <c r="O180" s="132"/>
      <c r="P180" s="132"/>
      <c r="Q180" s="78"/>
      <c r="R180" s="78"/>
      <c r="S180" s="119"/>
      <c r="T180" s="119"/>
      <c r="U180" s="118"/>
      <c r="V180" s="118"/>
      <c r="W180" s="119"/>
      <c r="X180" s="119"/>
      <c r="Y180" s="118"/>
    </row>
    <row r="181" spans="2:25" ht="15.75">
      <c r="B181" s="63" t="s">
        <v>123</v>
      </c>
      <c r="C181" s="63"/>
      <c r="D181" s="63"/>
      <c r="E181" s="63"/>
      <c r="F181" s="63"/>
      <c r="G181" s="63"/>
      <c r="H181" s="65"/>
      <c r="I181" s="65"/>
      <c r="J181" s="65"/>
      <c r="K181" s="116"/>
      <c r="L181" s="116"/>
      <c r="M181" s="116"/>
      <c r="N181" s="116"/>
      <c r="O181" s="230">
        <v>-2933916.89</v>
      </c>
      <c r="P181" s="230">
        <v>-2640529.13</v>
      </c>
      <c r="Q181" s="230">
        <v>-2347101.37</v>
      </c>
      <c r="R181" s="204">
        <v>-2053713.61</v>
      </c>
      <c r="S181" s="119"/>
      <c r="T181" s="119"/>
      <c r="U181" s="118">
        <v>-1760325.85</v>
      </c>
      <c r="V181" s="118">
        <v>-1466938.2</v>
      </c>
      <c r="W181" s="119"/>
      <c r="X181" s="119"/>
      <c r="Y181" s="118">
        <v>-1173550.56</v>
      </c>
    </row>
    <row r="182" spans="2:25" ht="21" thickBot="1">
      <c r="B182" s="186" t="s">
        <v>667</v>
      </c>
      <c r="C182" s="63"/>
      <c r="D182" s="63"/>
      <c r="E182" s="63"/>
      <c r="F182" s="63"/>
      <c r="G182" s="63"/>
      <c r="H182" s="69">
        <f>+H179-H181</f>
        <v>0</v>
      </c>
      <c r="I182" s="76"/>
      <c r="J182" s="76"/>
      <c r="K182" s="116"/>
      <c r="L182" s="116"/>
      <c r="M182" s="116"/>
      <c r="N182" s="116"/>
      <c r="O182" s="205">
        <f>SUM(O179:O181)</f>
        <v>11735464.77</v>
      </c>
      <c r="P182" s="205">
        <f>+P179+P181</f>
        <v>12028852.530000001</v>
      </c>
      <c r="Q182" s="205">
        <f>SUM(Q178:Q181)</f>
        <v>12481860.760000002</v>
      </c>
      <c r="R182" s="205">
        <f>SUM(R178:R181)</f>
        <v>12775248.520000001</v>
      </c>
      <c r="S182" s="119"/>
      <c r="T182" s="119"/>
      <c r="U182" s="313">
        <f>+U179+U181</f>
        <v>12909055.81</v>
      </c>
      <c r="V182" s="313">
        <f>SUM(V179:V181)</f>
        <v>13202443.46</v>
      </c>
      <c r="W182" s="119"/>
      <c r="X182" s="119"/>
      <c r="Y182" s="313">
        <f>SUM(Y179:Y181)</f>
        <v>13495831.1</v>
      </c>
    </row>
    <row r="183" spans="2:25" ht="15.75" thickTop="1">
      <c r="B183" s="12"/>
      <c r="C183" s="12"/>
      <c r="D183" s="12"/>
      <c r="E183" s="12"/>
      <c r="F183" s="12"/>
      <c r="G183" s="12"/>
      <c r="H183" s="6"/>
      <c r="I183" s="6"/>
      <c r="J183" s="6"/>
      <c r="Y183" s="298"/>
    </row>
    <row r="184" spans="2:25" ht="26.25" hidden="1">
      <c r="B184" s="12"/>
      <c r="C184" s="111" t="s">
        <v>82</v>
      </c>
      <c r="D184" s="111" t="s">
        <v>83</v>
      </c>
      <c r="E184" s="111"/>
      <c r="F184" s="111"/>
      <c r="G184" s="111"/>
      <c r="H184" s="111"/>
      <c r="I184" s="111"/>
      <c r="J184" s="111"/>
      <c r="K184" s="112"/>
      <c r="Y184" s="298"/>
    </row>
    <row r="185" spans="2:25" ht="26.25" hidden="1">
      <c r="B185" s="12"/>
      <c r="C185" s="111" t="s">
        <v>243</v>
      </c>
      <c r="D185" s="111"/>
      <c r="E185" s="111"/>
      <c r="F185" s="111"/>
      <c r="G185" s="111"/>
      <c r="H185" s="111"/>
      <c r="I185" s="111"/>
      <c r="J185" s="111"/>
      <c r="K185" s="112"/>
      <c r="Y185" s="298"/>
    </row>
    <row r="186" spans="2:25" ht="26.25" hidden="1">
      <c r="B186" s="12"/>
      <c r="C186" s="12"/>
      <c r="D186" s="12"/>
      <c r="E186" s="111" t="s">
        <v>84</v>
      </c>
      <c r="F186" s="12"/>
      <c r="G186" s="12"/>
      <c r="H186" s="12"/>
      <c r="I186" s="12"/>
      <c r="J186" s="12"/>
      <c r="Y186" s="298"/>
    </row>
    <row r="187" spans="2:25" ht="0.75" customHeight="1">
      <c r="B187" s="12"/>
      <c r="C187" s="12"/>
      <c r="D187" s="12"/>
      <c r="E187" s="12"/>
      <c r="F187" s="12"/>
      <c r="G187" s="12"/>
      <c r="H187" s="12"/>
      <c r="I187" s="12"/>
      <c r="J187" s="12"/>
      <c r="Y187" s="298"/>
    </row>
    <row r="188" spans="2:25" ht="18.75">
      <c r="B188" s="113" t="s">
        <v>597</v>
      </c>
      <c r="C188" s="135"/>
      <c r="D188" s="135"/>
      <c r="E188" s="135"/>
      <c r="F188" s="12"/>
      <c r="G188" s="12"/>
      <c r="H188" s="12"/>
      <c r="I188" s="12"/>
      <c r="J188" s="12"/>
      <c r="Y188" s="298"/>
    </row>
    <row r="189" spans="2:25" ht="20.25">
      <c r="B189" s="186" t="s">
        <v>118</v>
      </c>
      <c r="C189" s="135"/>
      <c r="D189" s="135"/>
      <c r="E189" s="135"/>
      <c r="F189" s="12"/>
      <c r="G189" s="12"/>
      <c r="H189" s="12"/>
      <c r="I189" s="12"/>
      <c r="J189" s="12"/>
      <c r="P189" s="230"/>
      <c r="Y189" s="298"/>
    </row>
    <row r="190" spans="2:25" ht="15.75">
      <c r="B190" s="63" t="s">
        <v>668</v>
      </c>
      <c r="C190" s="12"/>
      <c r="D190" s="12"/>
      <c r="E190" s="12"/>
      <c r="F190" s="12"/>
      <c r="G190" s="12"/>
      <c r="H190" s="12"/>
      <c r="I190" s="12"/>
      <c r="J190" s="12"/>
      <c r="O190" s="614" t="s">
        <v>660</v>
      </c>
      <c r="P190" s="614"/>
      <c r="Q190" s="614"/>
      <c r="R190" s="225"/>
      <c r="S190" s="118"/>
      <c r="Y190" s="298"/>
    </row>
    <row r="191" spans="2:25" ht="18.75">
      <c r="B191" s="63" t="s">
        <v>902</v>
      </c>
      <c r="C191" s="12"/>
      <c r="D191" s="12"/>
      <c r="E191" s="12"/>
      <c r="F191" s="12"/>
      <c r="G191" s="12"/>
      <c r="H191" s="12"/>
      <c r="I191" s="12"/>
      <c r="J191" s="12"/>
      <c r="O191" s="114">
        <v>2022</v>
      </c>
      <c r="P191" s="114">
        <v>2021</v>
      </c>
      <c r="Q191" s="114">
        <v>2020</v>
      </c>
      <c r="R191" s="114">
        <v>2019</v>
      </c>
      <c r="Y191" s="298"/>
    </row>
    <row r="192" spans="2:25" ht="15.75">
      <c r="B192" s="63" t="s">
        <v>669</v>
      </c>
      <c r="C192" s="12"/>
      <c r="D192" s="12"/>
      <c r="E192" s="12"/>
      <c r="F192" s="12"/>
      <c r="G192" s="12"/>
      <c r="H192" s="12"/>
      <c r="I192" s="12"/>
      <c r="J192" s="12"/>
      <c r="Y192" s="298"/>
    </row>
    <row r="193" spans="2:41" s="137" customFormat="1" ht="18.75">
      <c r="B193" s="113" t="s">
        <v>23</v>
      </c>
      <c r="C193" s="135"/>
      <c r="D193" s="135"/>
      <c r="E193" s="135"/>
      <c r="F193" s="135"/>
      <c r="G193" s="135"/>
      <c r="H193" s="135"/>
      <c r="I193" s="135"/>
      <c r="J193" s="135"/>
      <c r="S193" s="306"/>
      <c r="T193" s="306"/>
      <c r="U193" s="306"/>
      <c r="V193" s="306"/>
      <c r="W193" s="306"/>
      <c r="X193" s="306"/>
      <c r="Y193" s="308"/>
      <c r="Z193" s="306"/>
      <c r="AA193" s="306"/>
      <c r="AB193" s="306"/>
      <c r="AC193" s="306"/>
      <c r="AD193" s="306"/>
      <c r="AE193" s="306"/>
      <c r="AF193" s="306"/>
      <c r="AL193" s="306"/>
      <c r="AM193" s="544"/>
      <c r="AN193" s="306"/>
      <c r="AO193" s="306"/>
    </row>
    <row r="194" spans="2:26" ht="15.75">
      <c r="B194" s="63" t="s">
        <v>29</v>
      </c>
      <c r="C194" s="63"/>
      <c r="D194" s="63"/>
      <c r="E194" s="63"/>
      <c r="F194" s="63"/>
      <c r="G194" s="63"/>
      <c r="H194" s="64">
        <v>21396540.13</v>
      </c>
      <c r="I194" s="64"/>
      <c r="J194" s="64"/>
      <c r="K194" s="116"/>
      <c r="L194" s="116"/>
      <c r="M194" s="116"/>
      <c r="N194" s="116"/>
      <c r="O194" s="70">
        <v>26553815.69</v>
      </c>
      <c r="P194" s="70">
        <v>25497831.53</v>
      </c>
      <c r="Q194" s="70">
        <v>24876294.05</v>
      </c>
      <c r="R194" s="70">
        <v>23256212.94</v>
      </c>
      <c r="S194" s="119"/>
      <c r="T194" s="119"/>
      <c r="U194" s="118">
        <v>22749163.5</v>
      </c>
      <c r="V194" s="118">
        <v>22652687.94</v>
      </c>
      <c r="W194" s="119"/>
      <c r="X194" s="119"/>
      <c r="Y194" s="118">
        <v>21834094.74</v>
      </c>
      <c r="Z194" s="119"/>
    </row>
    <row r="195" spans="1:26" ht="15.75">
      <c r="A195" s="515" t="s">
        <v>97</v>
      </c>
      <c r="B195" s="63" t="s">
        <v>936</v>
      </c>
      <c r="C195" s="63"/>
      <c r="D195" s="63"/>
      <c r="E195" s="63"/>
      <c r="F195" s="63"/>
      <c r="G195" s="63"/>
      <c r="H195" s="64">
        <v>35703.1</v>
      </c>
      <c r="I195" s="64"/>
      <c r="J195" s="64"/>
      <c r="K195" s="116"/>
      <c r="L195" s="116"/>
      <c r="M195" s="116"/>
      <c r="N195" s="116"/>
      <c r="O195" s="70">
        <v>30744.19</v>
      </c>
      <c r="P195" s="132"/>
      <c r="Q195" s="116"/>
      <c r="R195" s="70">
        <v>35703.1</v>
      </c>
      <c r="S195" s="119"/>
      <c r="T195" s="119"/>
      <c r="U195" s="118">
        <v>35703.1</v>
      </c>
      <c r="V195" s="118">
        <v>35703.1</v>
      </c>
      <c r="W195" s="119"/>
      <c r="X195" s="119"/>
      <c r="Y195" s="118">
        <v>35703.1</v>
      </c>
      <c r="Z195" s="119"/>
    </row>
    <row r="196" spans="2:26" ht="15.75">
      <c r="B196" s="63" t="s">
        <v>31</v>
      </c>
      <c r="C196" s="63"/>
      <c r="D196" s="63"/>
      <c r="E196" s="63"/>
      <c r="F196" s="63"/>
      <c r="G196" s="63"/>
      <c r="H196" s="64">
        <v>719340.07</v>
      </c>
      <c r="I196" s="64"/>
      <c r="J196" s="64"/>
      <c r="K196" s="116"/>
      <c r="L196" s="116"/>
      <c r="M196" s="116"/>
      <c r="N196" s="116"/>
      <c r="O196" s="70">
        <v>884540.07</v>
      </c>
      <c r="P196" s="70">
        <v>884540.07</v>
      </c>
      <c r="Q196" s="70">
        <v>884540.07</v>
      </c>
      <c r="R196" s="70">
        <v>884540.07</v>
      </c>
      <c r="S196" s="119"/>
      <c r="T196" s="119"/>
      <c r="U196" s="118">
        <v>884540.07</v>
      </c>
      <c r="V196" s="118">
        <v>884540.07</v>
      </c>
      <c r="W196" s="119"/>
      <c r="X196" s="119"/>
      <c r="Y196" s="118">
        <v>884540.07</v>
      </c>
      <c r="Z196" s="119"/>
    </row>
    <row r="197" spans="2:26" ht="15.75">
      <c r="B197" s="63" t="s">
        <v>32</v>
      </c>
      <c r="C197" s="63"/>
      <c r="D197" s="63"/>
      <c r="E197" s="63"/>
      <c r="F197" s="63"/>
      <c r="G197" s="63"/>
      <c r="H197" s="64">
        <v>2525605.58</v>
      </c>
      <c r="I197" s="64"/>
      <c r="J197" s="64"/>
      <c r="K197" s="116"/>
      <c r="L197" s="116"/>
      <c r="M197" s="116"/>
      <c r="N197" s="116"/>
      <c r="O197" s="70">
        <v>5183078.73</v>
      </c>
      <c r="P197" s="70">
        <v>3572078.7</v>
      </c>
      <c r="Q197" s="70">
        <v>3283012.63</v>
      </c>
      <c r="R197" s="70">
        <v>3824115.43</v>
      </c>
      <c r="S197" s="119"/>
      <c r="T197" s="119"/>
      <c r="U197" s="118">
        <v>3112760.62</v>
      </c>
      <c r="V197" s="118">
        <v>3054050.65</v>
      </c>
      <c r="W197" s="119"/>
      <c r="X197" s="119"/>
      <c r="Y197" s="118">
        <v>2674003.47</v>
      </c>
      <c r="Z197" s="119"/>
    </row>
    <row r="198" spans="2:26" ht="15.75">
      <c r="B198" s="63" t="s">
        <v>4</v>
      </c>
      <c r="C198" s="63"/>
      <c r="D198" s="63"/>
      <c r="E198" s="63"/>
      <c r="F198" s="63"/>
      <c r="G198" s="63"/>
      <c r="H198" s="64">
        <v>72976.65</v>
      </c>
      <c r="I198" s="64"/>
      <c r="J198" s="64"/>
      <c r="K198" s="116"/>
      <c r="L198" s="116"/>
      <c r="M198" s="116"/>
      <c r="N198" s="116"/>
      <c r="O198" s="70">
        <v>4838</v>
      </c>
      <c r="P198" s="70">
        <v>4838</v>
      </c>
      <c r="Q198" s="70">
        <v>4838</v>
      </c>
      <c r="R198" s="70">
        <v>105426.65</v>
      </c>
      <c r="S198" s="119"/>
      <c r="T198" s="119"/>
      <c r="U198" s="118">
        <v>105426.65</v>
      </c>
      <c r="V198" s="118">
        <v>105426.65</v>
      </c>
      <c r="W198" s="119"/>
      <c r="X198" s="119"/>
      <c r="Y198" s="118">
        <v>105426.65</v>
      </c>
      <c r="Z198" s="119"/>
    </row>
    <row r="199" spans="2:26" ht="15.75">
      <c r="B199" s="63" t="s">
        <v>443</v>
      </c>
      <c r="C199" s="63"/>
      <c r="D199" s="63"/>
      <c r="E199" s="63"/>
      <c r="F199" s="63"/>
      <c r="G199" s="63"/>
      <c r="H199" s="64">
        <v>136989.53</v>
      </c>
      <c r="I199" s="64"/>
      <c r="J199" s="64"/>
      <c r="K199" s="116"/>
      <c r="L199" s="116"/>
      <c r="M199" s="116"/>
      <c r="N199" s="116"/>
      <c r="O199" s="70">
        <v>85052.75</v>
      </c>
      <c r="P199" s="70">
        <v>85052.75</v>
      </c>
      <c r="Q199" s="70">
        <v>26140.78</v>
      </c>
      <c r="R199" s="70">
        <v>196241.12</v>
      </c>
      <c r="S199" s="119"/>
      <c r="T199" s="119"/>
      <c r="U199" s="118">
        <v>168400.98</v>
      </c>
      <c r="V199" s="118">
        <v>155170.95</v>
      </c>
      <c r="W199" s="119"/>
      <c r="X199" s="119"/>
      <c r="Y199" s="118">
        <v>145389.53</v>
      </c>
      <c r="Z199" s="119"/>
    </row>
    <row r="200" spans="2:26" ht="15.75">
      <c r="B200" s="63" t="s">
        <v>121</v>
      </c>
      <c r="C200" s="63"/>
      <c r="D200" s="63"/>
      <c r="E200" s="63"/>
      <c r="F200" s="63"/>
      <c r="G200" s="63"/>
      <c r="H200" s="64">
        <v>835607.94</v>
      </c>
      <c r="I200" s="64"/>
      <c r="J200" s="64"/>
      <c r="K200" s="116"/>
      <c r="L200" s="116"/>
      <c r="M200" s="116"/>
      <c r="N200" s="116"/>
      <c r="O200" s="70">
        <v>245132.14</v>
      </c>
      <c r="P200" s="70">
        <v>211648.46</v>
      </c>
      <c r="Q200" s="70">
        <v>148446.1</v>
      </c>
      <c r="R200" s="70">
        <v>939447.38</v>
      </c>
      <c r="S200" s="119"/>
      <c r="T200" s="119"/>
      <c r="U200" s="118">
        <v>868852.38</v>
      </c>
      <c r="V200" s="118">
        <v>868852.38</v>
      </c>
      <c r="W200" s="119"/>
      <c r="X200" s="119"/>
      <c r="Y200" s="118">
        <v>835607.94</v>
      </c>
      <c r="Z200" s="119"/>
    </row>
    <row r="201" spans="2:26" ht="15.75">
      <c r="B201" s="63" t="s">
        <v>485</v>
      </c>
      <c r="C201" s="116"/>
      <c r="D201" s="116"/>
      <c r="E201" s="116"/>
      <c r="F201" s="116"/>
      <c r="G201" s="116"/>
      <c r="H201" s="64">
        <v>189730.55</v>
      </c>
      <c r="I201" s="65"/>
      <c r="J201" s="65"/>
      <c r="K201" s="116"/>
      <c r="L201" s="116"/>
      <c r="M201" s="116"/>
      <c r="N201" s="116"/>
      <c r="O201" s="70">
        <v>39242.93</v>
      </c>
      <c r="P201" s="70">
        <v>15652.94</v>
      </c>
      <c r="Q201" s="70">
        <v>3457.94</v>
      </c>
      <c r="R201" s="70">
        <v>263668.01</v>
      </c>
      <c r="S201" s="119"/>
      <c r="T201" s="119"/>
      <c r="U201" s="118">
        <v>209278.01</v>
      </c>
      <c r="V201" s="118">
        <v>209278.01</v>
      </c>
      <c r="W201" s="119"/>
      <c r="X201" s="119"/>
      <c r="Y201" s="118">
        <v>189730.55</v>
      </c>
      <c r="Z201" s="119"/>
    </row>
    <row r="202" spans="2:26" ht="15.75">
      <c r="B202" s="63" t="s">
        <v>486</v>
      </c>
      <c r="C202" s="63"/>
      <c r="D202" s="63"/>
      <c r="E202" s="63"/>
      <c r="F202" s="63"/>
      <c r="G202" s="63"/>
      <c r="H202" s="65">
        <v>88099.23</v>
      </c>
      <c r="I202" s="65"/>
      <c r="J202" s="65"/>
      <c r="K202" s="116"/>
      <c r="L202" s="116"/>
      <c r="M202" s="116"/>
      <c r="N202" s="116"/>
      <c r="O202" s="70">
        <v>206941.73</v>
      </c>
      <c r="P202" s="70">
        <v>101226.72</v>
      </c>
      <c r="Q202" s="70">
        <v>101226.72</v>
      </c>
      <c r="R202" s="70">
        <v>117466.72</v>
      </c>
      <c r="S202" s="119"/>
      <c r="T202" s="119"/>
      <c r="U202" s="118">
        <v>117466.72</v>
      </c>
      <c r="V202" s="118">
        <v>103076.72</v>
      </c>
      <c r="W202" s="119"/>
      <c r="X202" s="119"/>
      <c r="Y202" s="118">
        <v>88099.23</v>
      </c>
      <c r="Z202" s="119"/>
    </row>
    <row r="203" spans="2:26" ht="15.75">
      <c r="B203" s="63" t="s">
        <v>126</v>
      </c>
      <c r="C203" s="63"/>
      <c r="D203" s="63"/>
      <c r="E203" s="63"/>
      <c r="F203" s="63"/>
      <c r="G203" s="63"/>
      <c r="H203" s="65">
        <v>5895</v>
      </c>
      <c r="I203" s="65"/>
      <c r="J203" s="65"/>
      <c r="K203" s="116"/>
      <c r="L203" s="116"/>
      <c r="M203" s="116"/>
      <c r="N203" s="116"/>
      <c r="O203" s="70">
        <v>31855</v>
      </c>
      <c r="P203" s="70">
        <v>5895</v>
      </c>
      <c r="Q203" s="70">
        <v>5895</v>
      </c>
      <c r="R203" s="70">
        <v>5895</v>
      </c>
      <c r="S203" s="119"/>
      <c r="T203" s="119"/>
      <c r="U203" s="118">
        <v>5895</v>
      </c>
      <c r="V203" s="118">
        <v>5895</v>
      </c>
      <c r="W203" s="119"/>
      <c r="X203" s="119"/>
      <c r="Y203" s="118">
        <v>5895</v>
      </c>
      <c r="Z203" s="119"/>
    </row>
    <row r="204" spans="2:41" s="172" customFormat="1" ht="15.75">
      <c r="B204" s="63" t="s">
        <v>905</v>
      </c>
      <c r="C204" s="63"/>
      <c r="D204" s="63"/>
      <c r="E204" s="63"/>
      <c r="F204" s="63"/>
      <c r="G204" s="63"/>
      <c r="H204" s="65"/>
      <c r="I204" s="65"/>
      <c r="J204" s="65"/>
      <c r="K204" s="132"/>
      <c r="L204" s="132"/>
      <c r="M204" s="132"/>
      <c r="N204" s="132"/>
      <c r="O204" s="70">
        <v>5494.99</v>
      </c>
      <c r="P204" s="70"/>
      <c r="Q204" s="70"/>
      <c r="R204" s="70"/>
      <c r="S204" s="119"/>
      <c r="T204" s="119"/>
      <c r="U204" s="118"/>
      <c r="V204" s="118"/>
      <c r="W204" s="119"/>
      <c r="X204" s="119"/>
      <c r="Y204" s="118"/>
      <c r="Z204" s="119"/>
      <c r="AA204" s="129"/>
      <c r="AB204" s="129"/>
      <c r="AC204" s="129"/>
      <c r="AD204" s="129"/>
      <c r="AE204" s="129"/>
      <c r="AF204" s="129"/>
      <c r="AL204" s="129"/>
      <c r="AM204" s="344"/>
      <c r="AN204" s="129"/>
      <c r="AO204" s="129"/>
    </row>
    <row r="205" spans="2:41" s="172" customFormat="1" ht="15.75">
      <c r="B205" s="63" t="s">
        <v>906</v>
      </c>
      <c r="C205" s="63"/>
      <c r="D205" s="63"/>
      <c r="E205" s="63"/>
      <c r="F205" s="63"/>
      <c r="G205" s="63"/>
      <c r="H205" s="65"/>
      <c r="I205" s="65"/>
      <c r="J205" s="65"/>
      <c r="K205" s="132"/>
      <c r="L205" s="132"/>
      <c r="M205" s="132"/>
      <c r="N205" s="132"/>
      <c r="O205" s="70">
        <v>27667.07</v>
      </c>
      <c r="P205" s="70"/>
      <c r="Q205" s="70"/>
      <c r="R205" s="70"/>
      <c r="S205" s="119"/>
      <c r="T205" s="119"/>
      <c r="U205" s="118"/>
      <c r="V205" s="118"/>
      <c r="W205" s="119"/>
      <c r="X205" s="119"/>
      <c r="Y205" s="118"/>
      <c r="Z205" s="119"/>
      <c r="AA205" s="129"/>
      <c r="AB205" s="129"/>
      <c r="AC205" s="129"/>
      <c r="AD205" s="129"/>
      <c r="AE205" s="129"/>
      <c r="AF205" s="129"/>
      <c r="AL205" s="129"/>
      <c r="AM205" s="344"/>
      <c r="AN205" s="129"/>
      <c r="AO205" s="129"/>
    </row>
    <row r="206" spans="1:26" ht="15.75">
      <c r="A206" s="515" t="s">
        <v>109</v>
      </c>
      <c r="B206" s="63" t="s">
        <v>122</v>
      </c>
      <c r="C206" s="63"/>
      <c r="D206" s="63"/>
      <c r="E206" s="63"/>
      <c r="F206" s="63"/>
      <c r="G206" s="63"/>
      <c r="H206" s="65">
        <v>15631018.04</v>
      </c>
      <c r="I206" s="65"/>
      <c r="J206" s="65"/>
      <c r="K206" s="116"/>
      <c r="L206" s="116"/>
      <c r="M206" s="116"/>
      <c r="N206" s="116"/>
      <c r="O206" s="70">
        <f>950418.96+942984.02</f>
        <v>1893402.98</v>
      </c>
      <c r="P206" s="70">
        <v>553230.96</v>
      </c>
      <c r="Q206" s="70">
        <v>239754.94</v>
      </c>
      <c r="R206" s="70">
        <v>16288354.29</v>
      </c>
      <c r="S206" s="119"/>
      <c r="T206" s="119"/>
      <c r="U206" s="118">
        <v>16126252.8</v>
      </c>
      <c r="V206" s="118">
        <v>16100876.9</v>
      </c>
      <c r="W206" s="119"/>
      <c r="X206" s="119"/>
      <c r="Y206" s="118">
        <v>15705237.98</v>
      </c>
      <c r="Z206" s="119"/>
    </row>
    <row r="207" spans="2:26" ht="16.5" thickBot="1">
      <c r="B207" s="63" t="s">
        <v>127</v>
      </c>
      <c r="C207" s="63"/>
      <c r="D207" s="63"/>
      <c r="E207" s="63"/>
      <c r="F207" s="63"/>
      <c r="G207" s="63"/>
      <c r="H207" s="66">
        <v>37782.99</v>
      </c>
      <c r="I207" s="65"/>
      <c r="J207" s="65"/>
      <c r="K207" s="116"/>
      <c r="L207" s="116"/>
      <c r="M207" s="116"/>
      <c r="N207" s="116"/>
      <c r="O207" s="71">
        <v>150924.4</v>
      </c>
      <c r="P207" s="71">
        <v>150924.4</v>
      </c>
      <c r="Q207" s="71">
        <v>150924.4</v>
      </c>
      <c r="R207" s="71">
        <v>49825.32</v>
      </c>
      <c r="S207" s="119"/>
      <c r="T207" s="119"/>
      <c r="U207" s="296">
        <v>49825.32</v>
      </c>
      <c r="V207" s="296">
        <v>45010.99</v>
      </c>
      <c r="W207" s="119"/>
      <c r="X207" s="119"/>
      <c r="Y207" s="296">
        <v>37782.99</v>
      </c>
      <c r="Z207" s="119"/>
    </row>
    <row r="208" spans="2:39" ht="16.5">
      <c r="B208" s="63"/>
      <c r="C208" s="63"/>
      <c r="D208" s="63"/>
      <c r="E208" s="63"/>
      <c r="F208" s="63"/>
      <c r="G208" s="63"/>
      <c r="H208" s="72">
        <f>SUM(H194:H207)</f>
        <v>41675288.81000001</v>
      </c>
      <c r="I208" s="72"/>
      <c r="J208" s="72"/>
      <c r="K208" s="116"/>
      <c r="L208" s="116"/>
      <c r="M208" s="116"/>
      <c r="N208" s="116"/>
      <c r="O208" s="127">
        <f>SUM(O194:O207)</f>
        <v>35342730.67</v>
      </c>
      <c r="P208" s="127">
        <f>SUM(P194:P207)</f>
        <v>31082919.53</v>
      </c>
      <c r="Q208" s="127">
        <f>SUM(Q194:Q207)</f>
        <v>29724530.630000003</v>
      </c>
      <c r="R208" s="127">
        <f>SUM(R194:R207)</f>
        <v>45966896.03</v>
      </c>
      <c r="S208" s="315"/>
      <c r="T208" s="119"/>
      <c r="U208" s="128">
        <f>SUM(U194:U207)</f>
        <v>44433565.15</v>
      </c>
      <c r="V208" s="128">
        <f>SUM(V194:V207)</f>
        <v>44220569.36</v>
      </c>
      <c r="W208" s="119"/>
      <c r="X208" s="119"/>
      <c r="Y208" s="128">
        <f>SUM(Y194:Y207)</f>
        <v>42541511.25000001</v>
      </c>
      <c r="Z208" s="119"/>
      <c r="AM208" s="508">
        <f>+O208-P208</f>
        <v>4259811.140000001</v>
      </c>
    </row>
    <row r="209" spans="2:26" ht="15.75">
      <c r="B209" s="63" t="s">
        <v>26</v>
      </c>
      <c r="C209" s="63"/>
      <c r="D209" s="63"/>
      <c r="E209" s="63"/>
      <c r="F209" s="63"/>
      <c r="G209" s="63"/>
      <c r="H209" s="64"/>
      <c r="I209" s="64"/>
      <c r="J209" s="64"/>
      <c r="K209" s="116"/>
      <c r="L209" s="116"/>
      <c r="M209" s="116"/>
      <c r="N209" s="116"/>
      <c r="O209" s="132"/>
      <c r="P209" s="132"/>
      <c r="Q209" s="116"/>
      <c r="R209" s="116"/>
      <c r="S209" s="119"/>
      <c r="T209" s="119"/>
      <c r="U209" s="119"/>
      <c r="V209" s="119"/>
      <c r="W209" s="119"/>
      <c r="X209" s="119"/>
      <c r="Y209" s="118"/>
      <c r="Z209" s="119"/>
    </row>
    <row r="210" spans="2:31" ht="16.5" thickBot="1">
      <c r="B210" s="63" t="s">
        <v>123</v>
      </c>
      <c r="C210" s="63"/>
      <c r="D210" s="63"/>
      <c r="E210" s="63"/>
      <c r="F210" s="63"/>
      <c r="G210" s="63"/>
      <c r="H210" s="73">
        <v>36302471.88</v>
      </c>
      <c r="I210" s="65"/>
      <c r="J210" s="65"/>
      <c r="K210" s="116"/>
      <c r="L210" s="120"/>
      <c r="M210" s="120"/>
      <c r="N210" s="120"/>
      <c r="O210" s="142">
        <f>+'Depreciación Acumulada'!E22</f>
        <v>19815582.75</v>
      </c>
      <c r="P210" s="142">
        <f>+'Depreciación Acumulada'!F22</f>
        <v>16713267.77</v>
      </c>
      <c r="Q210" s="142">
        <f>+'Depreciación Acumulada'!G22</f>
        <v>13645284.2</v>
      </c>
      <c r="R210" s="142">
        <f>+'Depreciación Acumulada'!H22</f>
        <v>41064077.23</v>
      </c>
      <c r="S210" s="290"/>
      <c r="T210" s="290"/>
      <c r="U210" s="316">
        <v>40029788.4</v>
      </c>
      <c r="V210" s="296">
        <v>39027668.73</v>
      </c>
      <c r="W210" s="290"/>
      <c r="X210" s="290"/>
      <c r="Y210" s="296">
        <v>37765965.47</v>
      </c>
      <c r="Z210" s="290"/>
      <c r="AA210" s="297"/>
      <c r="AB210" s="297"/>
      <c r="AC210" s="297"/>
      <c r="AD210" s="297"/>
      <c r="AE210" s="297"/>
    </row>
    <row r="211" spans="2:26" ht="18.75">
      <c r="B211" s="113" t="s">
        <v>124</v>
      </c>
      <c r="C211" s="63"/>
      <c r="D211" s="63"/>
      <c r="E211" s="63"/>
      <c r="F211" s="63"/>
      <c r="G211" s="63"/>
      <c r="H211" s="72">
        <f>+H208-H210</f>
        <v>5372816.930000007</v>
      </c>
      <c r="I211" s="72"/>
      <c r="J211" s="72"/>
      <c r="K211" s="116"/>
      <c r="L211" s="116"/>
      <c r="M211" s="116"/>
      <c r="N211" s="116"/>
      <c r="O211" s="127">
        <f>+O208-O210</f>
        <v>15527147.920000002</v>
      </c>
      <c r="P211" s="127">
        <f>+P208-P210</f>
        <v>14369651.760000002</v>
      </c>
      <c r="Q211" s="127">
        <f>+Q208-Q210</f>
        <v>16079246.430000003</v>
      </c>
      <c r="R211" s="127">
        <f>+R208-R210</f>
        <v>4902818.8000000045</v>
      </c>
      <c r="S211" s="119"/>
      <c r="T211" s="119"/>
      <c r="U211" s="128">
        <f>+U208-U210</f>
        <v>4403776.75</v>
      </c>
      <c r="V211" s="128">
        <f>+V208-V210</f>
        <v>5192900.630000003</v>
      </c>
      <c r="W211" s="119"/>
      <c r="X211" s="119"/>
      <c r="Y211" s="128">
        <f>+Y208-Y210</f>
        <v>4775545.780000009</v>
      </c>
      <c r="Z211" s="119"/>
    </row>
    <row r="212" spans="2:41" s="515" customFormat="1" ht="18.75">
      <c r="B212" s="113"/>
      <c r="C212" s="63"/>
      <c r="D212" s="63"/>
      <c r="E212" s="63"/>
      <c r="F212" s="63"/>
      <c r="G212" s="63"/>
      <c r="H212" s="72"/>
      <c r="I212" s="72"/>
      <c r="J212" s="72"/>
      <c r="K212" s="520"/>
      <c r="L212" s="520"/>
      <c r="M212" s="520"/>
      <c r="N212" s="520"/>
      <c r="O212" s="127"/>
      <c r="P212" s="127"/>
      <c r="Q212" s="127"/>
      <c r="R212" s="127"/>
      <c r="S212" s="119"/>
      <c r="T212" s="119"/>
      <c r="U212" s="128"/>
      <c r="V212" s="128"/>
      <c r="W212" s="119"/>
      <c r="X212" s="119"/>
      <c r="Y212" s="128"/>
      <c r="Z212" s="119"/>
      <c r="AA212" s="521"/>
      <c r="AB212" s="521"/>
      <c r="AC212" s="521"/>
      <c r="AD212" s="521"/>
      <c r="AE212" s="521"/>
      <c r="AF212" s="521"/>
      <c r="AL212" s="521"/>
      <c r="AM212" s="344"/>
      <c r="AN212" s="521"/>
      <c r="AO212" s="521"/>
    </row>
    <row r="213" spans="1:41" s="515" customFormat="1" ht="16.5">
      <c r="A213" s="515" t="s">
        <v>97</v>
      </c>
      <c r="B213" s="176" t="s">
        <v>1135</v>
      </c>
      <c r="C213" s="63"/>
      <c r="D213" s="63"/>
      <c r="E213" s="63"/>
      <c r="F213" s="63"/>
      <c r="G213" s="63"/>
      <c r="H213" s="72"/>
      <c r="I213" s="72"/>
      <c r="J213" s="72"/>
      <c r="K213" s="520"/>
      <c r="L213" s="520"/>
      <c r="M213" s="520"/>
      <c r="N213" s="520"/>
      <c r="O213" s="127"/>
      <c r="P213" s="127"/>
      <c r="Q213" s="127"/>
      <c r="R213" s="127"/>
      <c r="S213" s="119"/>
      <c r="T213" s="119"/>
      <c r="U213" s="128"/>
      <c r="V213" s="128"/>
      <c r="W213" s="119"/>
      <c r="X213" s="119"/>
      <c r="Y213" s="128"/>
      <c r="Z213" s="119"/>
      <c r="AA213" s="521"/>
      <c r="AB213" s="521"/>
      <c r="AC213" s="521"/>
      <c r="AD213" s="521"/>
      <c r="AE213" s="521"/>
      <c r="AF213" s="521"/>
      <c r="AL213" s="521"/>
      <c r="AM213" s="344"/>
      <c r="AN213" s="521"/>
      <c r="AO213" s="521"/>
    </row>
    <row r="214" spans="2:26" ht="16.5">
      <c r="B214" s="75" t="s">
        <v>1136</v>
      </c>
      <c r="C214" s="63"/>
      <c r="D214" s="63"/>
      <c r="E214" s="63"/>
      <c r="F214" s="63"/>
      <c r="G214" s="63"/>
      <c r="H214" s="72"/>
      <c r="I214" s="72"/>
      <c r="J214" s="72"/>
      <c r="K214" s="116"/>
      <c r="L214" s="116"/>
      <c r="M214" s="116"/>
      <c r="N214" s="116"/>
      <c r="O214" s="132"/>
      <c r="P214" s="132"/>
      <c r="Q214" s="116"/>
      <c r="R214" s="127"/>
      <c r="S214" s="119"/>
      <c r="T214" s="119"/>
      <c r="U214" s="128"/>
      <c r="V214" s="128"/>
      <c r="W214" s="119"/>
      <c r="X214" s="119"/>
      <c r="Y214" s="128"/>
      <c r="Z214" s="119"/>
    </row>
    <row r="215" spans="1:41" s="515" customFormat="1" ht="16.5">
      <c r="A215" s="515" t="s">
        <v>109</v>
      </c>
      <c r="B215" s="75" t="s">
        <v>1139</v>
      </c>
      <c r="C215" s="63"/>
      <c r="D215" s="63"/>
      <c r="E215" s="63"/>
      <c r="F215" s="63"/>
      <c r="G215" s="63"/>
      <c r="H215" s="72"/>
      <c r="I215" s="72"/>
      <c r="J215" s="72"/>
      <c r="K215" s="520"/>
      <c r="L215" s="520"/>
      <c r="M215" s="520"/>
      <c r="N215" s="520"/>
      <c r="O215" s="520"/>
      <c r="P215" s="520"/>
      <c r="Q215" s="520"/>
      <c r="R215" s="127"/>
      <c r="S215" s="119"/>
      <c r="T215" s="119"/>
      <c r="U215" s="128"/>
      <c r="V215" s="128"/>
      <c r="W215" s="119"/>
      <c r="X215" s="119"/>
      <c r="Y215" s="128"/>
      <c r="Z215" s="119"/>
      <c r="AA215" s="521"/>
      <c r="AB215" s="521"/>
      <c r="AC215" s="521"/>
      <c r="AD215" s="521"/>
      <c r="AE215" s="521"/>
      <c r="AF215" s="521"/>
      <c r="AL215" s="521"/>
      <c r="AM215" s="344"/>
      <c r="AN215" s="521"/>
      <c r="AO215" s="521"/>
    </row>
    <row r="216" spans="2:41" s="515" customFormat="1" ht="16.5">
      <c r="B216" s="75" t="s">
        <v>1140</v>
      </c>
      <c r="C216" s="63"/>
      <c r="D216" s="63"/>
      <c r="E216" s="63"/>
      <c r="F216" s="63"/>
      <c r="G216" s="63"/>
      <c r="H216" s="72"/>
      <c r="I216" s="72"/>
      <c r="J216" s="72"/>
      <c r="K216" s="520"/>
      <c r="L216" s="520"/>
      <c r="M216" s="520"/>
      <c r="N216" s="520"/>
      <c r="O216" s="520"/>
      <c r="P216" s="520"/>
      <c r="Q216" s="520"/>
      <c r="R216" s="127"/>
      <c r="S216" s="119"/>
      <c r="T216" s="119"/>
      <c r="U216" s="128"/>
      <c r="V216" s="128"/>
      <c r="W216" s="119"/>
      <c r="X216" s="119"/>
      <c r="Y216" s="128"/>
      <c r="Z216" s="119"/>
      <c r="AA216" s="521"/>
      <c r="AB216" s="521"/>
      <c r="AC216" s="521"/>
      <c r="AD216" s="521"/>
      <c r="AE216" s="521"/>
      <c r="AF216" s="521"/>
      <c r="AL216" s="521"/>
      <c r="AM216" s="344"/>
      <c r="AN216" s="521"/>
      <c r="AO216" s="521"/>
    </row>
    <row r="217" spans="2:41" s="515" customFormat="1" ht="16.5">
      <c r="B217" s="75"/>
      <c r="C217" s="63"/>
      <c r="D217" s="63"/>
      <c r="E217" s="63"/>
      <c r="F217" s="63"/>
      <c r="G217" s="63"/>
      <c r="H217" s="72"/>
      <c r="I217" s="72"/>
      <c r="J217" s="72"/>
      <c r="K217" s="520"/>
      <c r="L217" s="520"/>
      <c r="M217" s="520"/>
      <c r="N217" s="520"/>
      <c r="O217" s="520"/>
      <c r="P217" s="520"/>
      <c r="Q217" s="520"/>
      <c r="R217" s="127"/>
      <c r="S217" s="119"/>
      <c r="T217" s="119"/>
      <c r="U217" s="128"/>
      <c r="V217" s="128"/>
      <c r="W217" s="119"/>
      <c r="X217" s="119"/>
      <c r="Y217" s="128"/>
      <c r="Z217" s="119"/>
      <c r="AA217" s="521"/>
      <c r="AB217" s="521"/>
      <c r="AC217" s="521"/>
      <c r="AD217" s="521"/>
      <c r="AE217" s="521"/>
      <c r="AF217" s="521"/>
      <c r="AL217" s="521"/>
      <c r="AM217" s="344"/>
      <c r="AN217" s="521"/>
      <c r="AO217" s="521"/>
    </row>
    <row r="218" spans="2:18" ht="26.25">
      <c r="B218" s="12"/>
      <c r="C218" s="12"/>
      <c r="D218" s="12"/>
      <c r="E218" s="111"/>
      <c r="F218" s="12"/>
      <c r="G218" s="12"/>
      <c r="H218" s="12"/>
      <c r="I218" s="12"/>
      <c r="J218" s="12"/>
      <c r="O218" s="614" t="s">
        <v>660</v>
      </c>
      <c r="P218" s="614"/>
      <c r="Q218" s="614"/>
      <c r="R218" s="225"/>
    </row>
    <row r="219" spans="2:25" ht="18.75">
      <c r="B219" s="113" t="s">
        <v>25</v>
      </c>
      <c r="C219" s="12"/>
      <c r="D219" s="12"/>
      <c r="E219" s="12"/>
      <c r="F219" s="12"/>
      <c r="G219" s="12"/>
      <c r="H219" s="12"/>
      <c r="I219" s="12"/>
      <c r="J219" s="12"/>
      <c r="O219" s="114">
        <v>2022</v>
      </c>
      <c r="P219" s="114">
        <v>2021</v>
      </c>
      <c r="Q219" s="114">
        <v>2020</v>
      </c>
      <c r="R219" s="114">
        <v>2019</v>
      </c>
      <c r="U219" s="289">
        <v>2018</v>
      </c>
      <c r="V219" s="307">
        <v>2017</v>
      </c>
      <c r="W219" s="312"/>
      <c r="X219" s="312"/>
      <c r="Y219" s="307">
        <v>2016</v>
      </c>
    </row>
    <row r="220" spans="2:25" ht="15.75">
      <c r="B220" s="63" t="s">
        <v>29</v>
      </c>
      <c r="C220" s="63"/>
      <c r="D220" s="63"/>
      <c r="E220" s="63"/>
      <c r="F220" s="63"/>
      <c r="G220" s="63"/>
      <c r="H220" s="64">
        <v>1322372.29</v>
      </c>
      <c r="I220" s="64"/>
      <c r="J220" s="64"/>
      <c r="K220" s="116"/>
      <c r="L220" s="116"/>
      <c r="M220" s="116"/>
      <c r="N220" s="116"/>
      <c r="O220" s="70">
        <v>870406.84</v>
      </c>
      <c r="P220" s="70">
        <v>813740.64</v>
      </c>
      <c r="Q220" s="70">
        <v>813740.64</v>
      </c>
      <c r="R220" s="70">
        <v>1449196.92</v>
      </c>
      <c r="S220" s="119"/>
      <c r="T220" s="119"/>
      <c r="U220" s="118">
        <v>1413813.44</v>
      </c>
      <c r="V220" s="118">
        <v>1373811.44</v>
      </c>
      <c r="W220" s="119"/>
      <c r="X220" s="119"/>
      <c r="Y220" s="118">
        <v>1350732.41</v>
      </c>
    </row>
    <row r="221" spans="2:25" ht="15.75" hidden="1">
      <c r="B221" s="63" t="s">
        <v>509</v>
      </c>
      <c r="C221" s="63"/>
      <c r="D221" s="63"/>
      <c r="E221" s="63"/>
      <c r="F221" s="63"/>
      <c r="G221" s="63"/>
      <c r="H221" s="64">
        <v>1500</v>
      </c>
      <c r="I221" s="64"/>
      <c r="J221" s="64"/>
      <c r="K221" s="116"/>
      <c r="L221" s="116"/>
      <c r="M221" s="116"/>
      <c r="N221" s="116"/>
      <c r="O221" s="70"/>
      <c r="P221" s="70">
        <v>0</v>
      </c>
      <c r="Q221" s="70">
        <v>0</v>
      </c>
      <c r="R221" s="70">
        <v>1500</v>
      </c>
      <c r="S221" s="119"/>
      <c r="T221" s="119"/>
      <c r="U221" s="118">
        <v>1500</v>
      </c>
      <c r="V221" s="118">
        <v>1500</v>
      </c>
      <c r="W221" s="119"/>
      <c r="X221" s="119"/>
      <c r="Y221" s="118">
        <v>1500</v>
      </c>
    </row>
    <row r="222" spans="2:25" ht="15.75">
      <c r="B222" s="63" t="s">
        <v>32</v>
      </c>
      <c r="C222" s="63"/>
      <c r="D222" s="63"/>
      <c r="E222" s="63"/>
      <c r="F222" s="63"/>
      <c r="G222" s="63"/>
      <c r="H222" s="64">
        <v>261656.02</v>
      </c>
      <c r="I222" s="64"/>
      <c r="J222" s="64"/>
      <c r="K222" s="116"/>
      <c r="L222" s="116"/>
      <c r="M222" s="116"/>
      <c r="N222" s="116"/>
      <c r="O222" s="70">
        <v>363373.65</v>
      </c>
      <c r="P222" s="70">
        <v>363373.65</v>
      </c>
      <c r="Q222" s="70">
        <v>363373.65</v>
      </c>
      <c r="R222" s="70">
        <v>600030.67</v>
      </c>
      <c r="S222" s="119"/>
      <c r="T222" s="119"/>
      <c r="U222" s="118">
        <v>600030.67</v>
      </c>
      <c r="V222" s="118">
        <v>600030.67</v>
      </c>
      <c r="W222" s="119"/>
      <c r="X222" s="119"/>
      <c r="Y222" s="118">
        <v>600030.67</v>
      </c>
    </row>
    <row r="223" spans="2:25" ht="15.75" hidden="1">
      <c r="B223" s="63" t="s">
        <v>4</v>
      </c>
      <c r="C223" s="63"/>
      <c r="D223" s="63"/>
      <c r="E223" s="63"/>
      <c r="F223" s="63"/>
      <c r="G223" s="63"/>
      <c r="H223" s="64">
        <v>108897.18</v>
      </c>
      <c r="I223" s="64"/>
      <c r="J223" s="64"/>
      <c r="K223" s="116"/>
      <c r="L223" s="116"/>
      <c r="M223" s="116"/>
      <c r="N223" s="116"/>
      <c r="O223" s="70"/>
      <c r="P223" s="70">
        <v>0</v>
      </c>
      <c r="Q223" s="70">
        <v>0</v>
      </c>
      <c r="R223" s="70">
        <v>131197.17</v>
      </c>
      <c r="S223" s="119"/>
      <c r="T223" s="119"/>
      <c r="U223" s="118">
        <v>131197.17</v>
      </c>
      <c r="V223" s="118">
        <v>131197.17</v>
      </c>
      <c r="W223" s="119"/>
      <c r="X223" s="119"/>
      <c r="Y223" s="118">
        <v>131197.17</v>
      </c>
    </row>
    <row r="224" spans="2:25" ht="15.75">
      <c r="B224" s="63" t="s">
        <v>443</v>
      </c>
      <c r="C224" s="63"/>
      <c r="D224" s="63"/>
      <c r="E224" s="63"/>
      <c r="F224" s="63"/>
      <c r="G224" s="63"/>
      <c r="H224" s="64">
        <v>11848</v>
      </c>
      <c r="I224" s="64"/>
      <c r="J224" s="64"/>
      <c r="K224" s="116"/>
      <c r="L224" s="116"/>
      <c r="M224" s="116"/>
      <c r="N224" s="116"/>
      <c r="O224" s="70">
        <v>2849</v>
      </c>
      <c r="P224" s="70">
        <v>2849</v>
      </c>
      <c r="Q224" s="70">
        <v>2849</v>
      </c>
      <c r="R224" s="70">
        <v>11848</v>
      </c>
      <c r="S224" s="119"/>
      <c r="T224" s="119"/>
      <c r="U224" s="118">
        <v>11848</v>
      </c>
      <c r="V224" s="118">
        <v>11848</v>
      </c>
      <c r="W224" s="119"/>
      <c r="X224" s="119"/>
      <c r="Y224" s="118">
        <v>11848</v>
      </c>
    </row>
    <row r="225" spans="2:25" ht="15.75">
      <c r="B225" s="63" t="s">
        <v>121</v>
      </c>
      <c r="C225" s="63"/>
      <c r="D225" s="63"/>
      <c r="E225" s="63"/>
      <c r="F225" s="63"/>
      <c r="G225" s="63"/>
      <c r="H225" s="64">
        <v>6525</v>
      </c>
      <c r="I225" s="64"/>
      <c r="J225" s="64"/>
      <c r="K225" s="116"/>
      <c r="L225" s="116"/>
      <c r="M225" s="116"/>
      <c r="N225" s="116"/>
      <c r="O225" s="70"/>
      <c r="P225" s="70">
        <v>0</v>
      </c>
      <c r="Q225" s="70">
        <v>0</v>
      </c>
      <c r="R225" s="70">
        <v>6525</v>
      </c>
      <c r="S225" s="119"/>
      <c r="T225" s="119"/>
      <c r="U225" s="118">
        <v>6525</v>
      </c>
      <c r="V225" s="118">
        <v>6525</v>
      </c>
      <c r="W225" s="119"/>
      <c r="X225" s="119"/>
      <c r="Y225" s="118">
        <v>6525</v>
      </c>
    </row>
    <row r="226" spans="2:25" ht="15.75">
      <c r="B226" s="63" t="s">
        <v>487</v>
      </c>
      <c r="C226" s="63"/>
      <c r="D226" s="63"/>
      <c r="E226" s="63"/>
      <c r="F226" s="63"/>
      <c r="G226" s="63"/>
      <c r="H226" s="64">
        <v>47484</v>
      </c>
      <c r="I226" s="64"/>
      <c r="J226" s="64"/>
      <c r="K226" s="116"/>
      <c r="L226" s="116"/>
      <c r="M226" s="116"/>
      <c r="N226" s="116"/>
      <c r="O226" s="70">
        <v>15895</v>
      </c>
      <c r="P226" s="70">
        <v>15895</v>
      </c>
      <c r="Q226" s="70">
        <v>15895</v>
      </c>
      <c r="R226" s="70">
        <v>59479.6</v>
      </c>
      <c r="S226" s="119"/>
      <c r="T226" s="119"/>
      <c r="U226" s="118">
        <v>59479.6</v>
      </c>
      <c r="V226" s="118">
        <v>59479.6</v>
      </c>
      <c r="W226" s="119"/>
      <c r="X226" s="119"/>
      <c r="Y226" s="118">
        <v>59479.6</v>
      </c>
    </row>
    <row r="227" spans="2:25" ht="15.75">
      <c r="B227" s="63" t="s">
        <v>488</v>
      </c>
      <c r="C227" s="63"/>
      <c r="D227" s="63"/>
      <c r="E227" s="63"/>
      <c r="F227" s="63"/>
      <c r="G227" s="63"/>
      <c r="H227" s="64">
        <v>12790</v>
      </c>
      <c r="I227" s="64"/>
      <c r="J227" s="64"/>
      <c r="K227" s="116"/>
      <c r="L227" s="116"/>
      <c r="M227" s="116"/>
      <c r="N227" s="116"/>
      <c r="O227" s="70">
        <v>25680.85</v>
      </c>
      <c r="P227" s="70">
        <v>25680.85</v>
      </c>
      <c r="Q227" s="70">
        <v>16285.85</v>
      </c>
      <c r="R227" s="70">
        <v>31002.89</v>
      </c>
      <c r="S227" s="315"/>
      <c r="T227" s="119"/>
      <c r="U227" s="118">
        <v>22507.89</v>
      </c>
      <c r="V227" s="118">
        <v>22507.89</v>
      </c>
      <c r="W227" s="119"/>
      <c r="X227" s="119"/>
      <c r="Y227" s="118">
        <v>22507.89</v>
      </c>
    </row>
    <row r="228" spans="2:25" ht="16.5" thickBot="1">
      <c r="B228" s="63" t="s">
        <v>122</v>
      </c>
      <c r="C228" s="63"/>
      <c r="D228" s="63"/>
      <c r="E228" s="63"/>
      <c r="F228" s="63"/>
      <c r="G228" s="63"/>
      <c r="H228" s="66">
        <v>54670.34</v>
      </c>
      <c r="I228" s="65"/>
      <c r="J228" s="65"/>
      <c r="K228" s="116"/>
      <c r="L228" s="116"/>
      <c r="M228" s="116"/>
      <c r="N228" s="116"/>
      <c r="O228" s="71">
        <v>25813.44</v>
      </c>
      <c r="P228" s="71">
        <v>25813.44</v>
      </c>
      <c r="Q228" s="71">
        <v>25813.44</v>
      </c>
      <c r="R228" s="71">
        <v>57108.84</v>
      </c>
      <c r="S228" s="119"/>
      <c r="T228" s="119"/>
      <c r="U228" s="296">
        <v>55313.84</v>
      </c>
      <c r="V228" s="296">
        <v>55313.84</v>
      </c>
      <c r="W228" s="119"/>
      <c r="X228" s="119"/>
      <c r="Y228" s="296">
        <v>55313.84</v>
      </c>
    </row>
    <row r="229" spans="2:39" ht="16.5">
      <c r="B229" s="63"/>
      <c r="C229" s="63"/>
      <c r="D229" s="63"/>
      <c r="E229" s="63"/>
      <c r="F229" s="63"/>
      <c r="G229" s="63"/>
      <c r="H229" s="72">
        <f>SUM(H220:H228)</f>
        <v>1827742.83</v>
      </c>
      <c r="I229" s="72"/>
      <c r="J229" s="72"/>
      <c r="K229" s="116"/>
      <c r="L229" s="116"/>
      <c r="M229" s="116"/>
      <c r="N229" s="116"/>
      <c r="O229" s="127">
        <f>SUM(O220:O228)</f>
        <v>1304018.78</v>
      </c>
      <c r="P229" s="127">
        <f>SUM(P220:P228)</f>
        <v>1247352.58</v>
      </c>
      <c r="Q229" s="127">
        <f>SUM(Q220:Q228)</f>
        <v>1237957.58</v>
      </c>
      <c r="R229" s="127">
        <f>SUM(R220:R228)</f>
        <v>2347889.09</v>
      </c>
      <c r="S229" s="119"/>
      <c r="T229" s="119"/>
      <c r="U229" s="317">
        <f>SUM(U220:U228)</f>
        <v>2302215.61</v>
      </c>
      <c r="V229" s="317">
        <f>SUM(V220:V228)</f>
        <v>2262213.61</v>
      </c>
      <c r="W229" s="119"/>
      <c r="X229" s="119"/>
      <c r="Y229" s="317">
        <f>SUM(Y220:Y228)</f>
        <v>2239134.58</v>
      </c>
      <c r="AM229" s="545">
        <f>+O229-P229</f>
        <v>56666.19999999995</v>
      </c>
    </row>
    <row r="230" spans="2:25" ht="15.75">
      <c r="B230" s="63" t="s">
        <v>26</v>
      </c>
      <c r="C230" s="63"/>
      <c r="D230" s="63"/>
      <c r="E230" s="63"/>
      <c r="F230" s="63"/>
      <c r="G230" s="63"/>
      <c r="H230" s="64"/>
      <c r="I230" s="64"/>
      <c r="J230" s="64"/>
      <c r="K230" s="116"/>
      <c r="L230" s="116"/>
      <c r="M230" s="116"/>
      <c r="N230" s="116"/>
      <c r="O230" s="132"/>
      <c r="P230" s="132"/>
      <c r="Q230" s="116"/>
      <c r="R230" s="116"/>
      <c r="S230" s="119"/>
      <c r="T230" s="119"/>
      <c r="U230" s="119"/>
      <c r="V230" s="118"/>
      <c r="W230" s="119"/>
      <c r="X230" s="119"/>
      <c r="Y230" s="118"/>
    </row>
    <row r="231" spans="2:25" ht="16.5" thickBot="1">
      <c r="B231" s="63" t="s">
        <v>123</v>
      </c>
      <c r="C231" s="63"/>
      <c r="D231" s="63"/>
      <c r="E231" s="63"/>
      <c r="F231" s="63"/>
      <c r="G231" s="63"/>
      <c r="H231" s="66">
        <v>1697965.29</v>
      </c>
      <c r="I231" s="65"/>
      <c r="J231" s="65"/>
      <c r="K231" s="116"/>
      <c r="L231" s="116"/>
      <c r="M231" s="116"/>
      <c r="N231" s="116"/>
      <c r="O231" s="89">
        <f>+'Depreciación Acumulada'!E37</f>
        <v>937818.49</v>
      </c>
      <c r="P231" s="89">
        <f>+'Depreciación Acumulada'!F37</f>
        <v>926148.2100000001</v>
      </c>
      <c r="Q231" s="89">
        <f>+'Depreciación Acumulada'!G37</f>
        <v>916127.61</v>
      </c>
      <c r="R231" s="89">
        <f>+'Depreciación Acumulada'!H37</f>
        <v>2090621.37</v>
      </c>
      <c r="S231" s="119"/>
      <c r="T231" s="119"/>
      <c r="U231" s="296">
        <v>1979036.82</v>
      </c>
      <c r="V231" s="296">
        <v>1867452.21</v>
      </c>
      <c r="W231" s="119"/>
      <c r="X231" s="119"/>
      <c r="Y231" s="296">
        <v>1764486.83</v>
      </c>
    </row>
    <row r="232" spans="2:25" ht="16.5">
      <c r="B232" s="75" t="s">
        <v>124</v>
      </c>
      <c r="C232" s="63"/>
      <c r="D232" s="63"/>
      <c r="E232" s="63"/>
      <c r="F232" s="63"/>
      <c r="G232" s="63"/>
      <c r="H232" s="72">
        <f>+H229-H231</f>
        <v>129777.54000000004</v>
      </c>
      <c r="I232" s="72"/>
      <c r="J232" s="72"/>
      <c r="K232" s="116"/>
      <c r="L232" s="116"/>
      <c r="M232" s="116"/>
      <c r="N232" s="116"/>
      <c r="O232" s="143">
        <f>+O229-O231</f>
        <v>366200.29000000004</v>
      </c>
      <c r="P232" s="143">
        <f>+P229-P231</f>
        <v>321204.37</v>
      </c>
      <c r="Q232" s="143">
        <f>+Q229-Q231</f>
        <v>321829.9700000001</v>
      </c>
      <c r="R232" s="143">
        <f>+R229-R231</f>
        <v>257267.71999999974</v>
      </c>
      <c r="S232" s="119"/>
      <c r="T232" s="119"/>
      <c r="U232" s="128">
        <f>+U229-U231</f>
        <v>323178.7899999998</v>
      </c>
      <c r="V232" s="128">
        <f>+V229-V231</f>
        <v>394761.3999999999</v>
      </c>
      <c r="W232" s="119"/>
      <c r="X232" s="119"/>
      <c r="Y232" s="128">
        <f>+Y229-Y231</f>
        <v>474647.75</v>
      </c>
    </row>
    <row r="233" spans="2:25" ht="16.5">
      <c r="B233" s="75"/>
      <c r="C233" s="63"/>
      <c r="D233" s="63"/>
      <c r="E233" s="63"/>
      <c r="F233" s="63"/>
      <c r="G233" s="63"/>
      <c r="H233" s="72"/>
      <c r="I233" s="72"/>
      <c r="J233" s="72"/>
      <c r="K233" s="116"/>
      <c r="L233" s="116"/>
      <c r="M233" s="116"/>
      <c r="N233" s="116"/>
      <c r="O233" s="132"/>
      <c r="P233" s="132"/>
      <c r="Q233" s="116"/>
      <c r="R233" s="143"/>
      <c r="S233" s="119"/>
      <c r="T233" s="119"/>
      <c r="U233" s="128"/>
      <c r="V233" s="128"/>
      <c r="W233" s="119"/>
      <c r="X233" s="119"/>
      <c r="Y233" s="128"/>
    </row>
    <row r="234" spans="2:25" ht="15">
      <c r="B234" s="12"/>
      <c r="C234" s="12"/>
      <c r="D234" s="12"/>
      <c r="E234" s="12"/>
      <c r="F234" s="12"/>
      <c r="G234" s="12"/>
      <c r="H234" s="6"/>
      <c r="I234" s="6"/>
      <c r="J234" s="6"/>
      <c r="O234" s="614" t="s">
        <v>660</v>
      </c>
      <c r="P234" s="614"/>
      <c r="Q234" s="614"/>
      <c r="R234" s="225"/>
      <c r="Y234" s="298"/>
    </row>
    <row r="235" spans="2:25" ht="18.75">
      <c r="B235" s="113" t="s">
        <v>24</v>
      </c>
      <c r="C235" s="12"/>
      <c r="D235" s="12"/>
      <c r="E235" s="12"/>
      <c r="F235" s="12"/>
      <c r="G235" s="12"/>
      <c r="H235" s="6"/>
      <c r="I235" s="6"/>
      <c r="J235" s="6"/>
      <c r="O235" s="114">
        <v>2022</v>
      </c>
      <c r="P235" s="114">
        <v>2021</v>
      </c>
      <c r="Q235" s="114">
        <v>2020</v>
      </c>
      <c r="R235" s="114">
        <v>2019</v>
      </c>
      <c r="U235" s="289">
        <v>2018</v>
      </c>
      <c r="V235" s="307">
        <v>2017</v>
      </c>
      <c r="W235" s="312"/>
      <c r="X235" s="312"/>
      <c r="Y235" s="307">
        <v>2016</v>
      </c>
    </row>
    <row r="236" spans="2:25" ht="15.75">
      <c r="B236" s="63" t="s">
        <v>29</v>
      </c>
      <c r="C236" s="63"/>
      <c r="D236" s="63"/>
      <c r="E236" s="63"/>
      <c r="F236" s="63"/>
      <c r="G236" s="63"/>
      <c r="H236" s="64">
        <v>715389.94</v>
      </c>
      <c r="I236" s="64"/>
      <c r="J236" s="64"/>
      <c r="K236" s="116"/>
      <c r="L236" s="116"/>
      <c r="M236" s="116"/>
      <c r="N236" s="116"/>
      <c r="O236" s="70">
        <v>1032446</v>
      </c>
      <c r="P236" s="70">
        <v>1015928.36</v>
      </c>
      <c r="Q236" s="70">
        <v>1015928.36</v>
      </c>
      <c r="R236" s="70">
        <v>939611.78</v>
      </c>
      <c r="S236" s="119"/>
      <c r="T236" s="119"/>
      <c r="U236" s="118">
        <v>908840.91</v>
      </c>
      <c r="V236" s="118">
        <v>908840.91</v>
      </c>
      <c r="W236" s="119"/>
      <c r="X236" s="119"/>
      <c r="Y236" s="118">
        <v>748429.94</v>
      </c>
    </row>
    <row r="237" spans="2:25" ht="15.75" hidden="1">
      <c r="B237" s="63" t="s">
        <v>509</v>
      </c>
      <c r="C237" s="63"/>
      <c r="D237" s="63"/>
      <c r="E237" s="63"/>
      <c r="F237" s="63"/>
      <c r="G237" s="63"/>
      <c r="H237" s="64">
        <v>19952</v>
      </c>
      <c r="I237" s="64"/>
      <c r="J237" s="64"/>
      <c r="K237" s="116"/>
      <c r="L237" s="116"/>
      <c r="M237" s="116"/>
      <c r="N237" s="116"/>
      <c r="O237" s="132"/>
      <c r="P237" s="132"/>
      <c r="Q237" s="116"/>
      <c r="R237" s="70">
        <v>19952</v>
      </c>
      <c r="S237" s="119"/>
      <c r="T237" s="119"/>
      <c r="U237" s="118">
        <v>19952</v>
      </c>
      <c r="V237" s="118">
        <v>19952</v>
      </c>
      <c r="W237" s="119"/>
      <c r="X237" s="119"/>
      <c r="Y237" s="118">
        <v>19952</v>
      </c>
    </row>
    <row r="238" spans="2:25" ht="15.75" hidden="1">
      <c r="B238" s="63" t="s">
        <v>31</v>
      </c>
      <c r="C238" s="63"/>
      <c r="D238" s="63"/>
      <c r="E238" s="63"/>
      <c r="F238" s="63"/>
      <c r="G238" s="63"/>
      <c r="H238" s="64">
        <v>382724.01</v>
      </c>
      <c r="I238" s="64"/>
      <c r="J238" s="64"/>
      <c r="K238" s="116"/>
      <c r="L238" s="116"/>
      <c r="M238" s="116"/>
      <c r="N238" s="116"/>
      <c r="O238" s="132"/>
      <c r="P238" s="132"/>
      <c r="Q238" s="116"/>
      <c r="R238" s="70">
        <v>382724.01</v>
      </c>
      <c r="S238" s="119"/>
      <c r="T238" s="119"/>
      <c r="U238" s="118">
        <v>382724.01</v>
      </c>
      <c r="V238" s="118">
        <v>382724.01</v>
      </c>
      <c r="W238" s="119"/>
      <c r="X238" s="119"/>
      <c r="Y238" s="118">
        <v>382724.01</v>
      </c>
    </row>
    <row r="239" spans="2:25" ht="15.75">
      <c r="B239" s="63" t="s">
        <v>32</v>
      </c>
      <c r="C239" s="63"/>
      <c r="D239" s="63"/>
      <c r="E239" s="63"/>
      <c r="F239" s="63"/>
      <c r="G239" s="63"/>
      <c r="H239" s="64">
        <f>72799+11774</f>
        <v>84573</v>
      </c>
      <c r="I239" s="64"/>
      <c r="J239" s="64"/>
      <c r="K239" s="116"/>
      <c r="L239" s="116"/>
      <c r="M239" s="116"/>
      <c r="N239" s="116"/>
      <c r="O239" s="70">
        <v>27800</v>
      </c>
      <c r="P239" s="70">
        <v>27800</v>
      </c>
      <c r="Q239" s="70">
        <v>27800</v>
      </c>
      <c r="R239" s="70">
        <v>148995.76</v>
      </c>
      <c r="S239" s="119"/>
      <c r="T239" s="119"/>
      <c r="U239" s="118">
        <v>148995.76</v>
      </c>
      <c r="V239" s="118">
        <v>148995.76</v>
      </c>
      <c r="W239" s="119"/>
      <c r="X239" s="119"/>
      <c r="Y239" s="118">
        <v>84573</v>
      </c>
    </row>
    <row r="240" spans="2:25" ht="15.75">
      <c r="B240" s="63" t="s">
        <v>443</v>
      </c>
      <c r="C240" s="63"/>
      <c r="D240" s="63"/>
      <c r="E240" s="63"/>
      <c r="F240" s="63"/>
      <c r="G240" s="63"/>
      <c r="H240" s="64">
        <v>13780.16</v>
      </c>
      <c r="I240" s="64"/>
      <c r="J240" s="64"/>
      <c r="K240" s="116"/>
      <c r="L240" s="116"/>
      <c r="M240" s="116"/>
      <c r="N240" s="116"/>
      <c r="O240" s="70">
        <v>6405</v>
      </c>
      <c r="P240" s="70">
        <v>6405</v>
      </c>
      <c r="Q240" s="70">
        <v>6405</v>
      </c>
      <c r="R240" s="70">
        <v>27971.58</v>
      </c>
      <c r="S240" s="119"/>
      <c r="T240" s="119"/>
      <c r="U240" s="118">
        <v>27971.58</v>
      </c>
      <c r="V240" s="118">
        <v>23561.58</v>
      </c>
      <c r="W240" s="119"/>
      <c r="X240" s="119"/>
      <c r="Y240" s="118">
        <v>13780.16</v>
      </c>
    </row>
    <row r="241" spans="2:25" ht="15.75">
      <c r="B241" s="63" t="s">
        <v>121</v>
      </c>
      <c r="C241" s="63"/>
      <c r="D241" s="63"/>
      <c r="E241" s="63"/>
      <c r="F241" s="63"/>
      <c r="G241" s="63"/>
      <c r="H241" s="64">
        <v>13050</v>
      </c>
      <c r="I241" s="64"/>
      <c r="J241" s="64"/>
      <c r="K241" s="116"/>
      <c r="L241" s="116"/>
      <c r="M241" s="116"/>
      <c r="N241" s="116"/>
      <c r="O241" s="132"/>
      <c r="P241" s="132"/>
      <c r="Q241" s="116"/>
      <c r="R241" s="70">
        <v>13050</v>
      </c>
      <c r="S241" s="119"/>
      <c r="T241" s="119"/>
      <c r="U241" s="118">
        <v>13050</v>
      </c>
      <c r="V241" s="118">
        <v>13050</v>
      </c>
      <c r="W241" s="119"/>
      <c r="X241" s="119"/>
      <c r="Y241" s="118">
        <v>13050</v>
      </c>
    </row>
    <row r="242" spans="2:25" ht="15.75">
      <c r="B242" s="63" t="s">
        <v>489</v>
      </c>
      <c r="C242" s="63"/>
      <c r="D242" s="63"/>
      <c r="E242" s="63"/>
      <c r="F242" s="63"/>
      <c r="G242" s="63"/>
      <c r="H242" s="64">
        <v>11280</v>
      </c>
      <c r="I242" s="64"/>
      <c r="J242" s="64"/>
      <c r="K242" s="116"/>
      <c r="L242" s="116"/>
      <c r="M242" s="116"/>
      <c r="N242" s="116"/>
      <c r="O242" s="70">
        <v>9595</v>
      </c>
      <c r="P242" s="132"/>
      <c r="Q242" s="116"/>
      <c r="R242" s="70">
        <v>11280</v>
      </c>
      <c r="S242" s="119"/>
      <c r="T242" s="119"/>
      <c r="U242" s="118">
        <v>11280</v>
      </c>
      <c r="V242" s="118">
        <v>11280</v>
      </c>
      <c r="W242" s="119"/>
      <c r="X242" s="119"/>
      <c r="Y242" s="118">
        <v>11280</v>
      </c>
    </row>
    <row r="243" spans="2:25" ht="15.75">
      <c r="B243" s="63" t="s">
        <v>490</v>
      </c>
      <c r="C243" s="63"/>
      <c r="D243" s="63"/>
      <c r="E243" s="63"/>
      <c r="F243" s="63"/>
      <c r="G243" s="63"/>
      <c r="H243" s="64">
        <v>1500</v>
      </c>
      <c r="I243" s="64"/>
      <c r="J243" s="64"/>
      <c r="K243" s="116"/>
      <c r="L243" s="116"/>
      <c r="M243" s="116"/>
      <c r="N243" s="116"/>
      <c r="O243" s="70">
        <v>14590.01</v>
      </c>
      <c r="P243" s="70">
        <v>7995</v>
      </c>
      <c r="Q243" s="70">
        <v>7995</v>
      </c>
      <c r="R243" s="70">
        <v>1500</v>
      </c>
      <c r="S243" s="119"/>
      <c r="T243" s="119"/>
      <c r="U243" s="118">
        <v>1500</v>
      </c>
      <c r="V243" s="118">
        <v>1500</v>
      </c>
      <c r="W243" s="119"/>
      <c r="X243" s="119"/>
      <c r="Y243" s="118">
        <v>1500</v>
      </c>
    </row>
    <row r="244" spans="2:41" s="172" customFormat="1" ht="15.75">
      <c r="B244" s="63" t="s">
        <v>906</v>
      </c>
      <c r="C244" s="63"/>
      <c r="D244" s="63"/>
      <c r="E244" s="63"/>
      <c r="F244" s="63"/>
      <c r="G244" s="63"/>
      <c r="H244" s="64"/>
      <c r="I244" s="64"/>
      <c r="J244" s="64"/>
      <c r="K244" s="132"/>
      <c r="L244" s="132"/>
      <c r="M244" s="132"/>
      <c r="N244" s="132"/>
      <c r="O244" s="70">
        <v>27667.07</v>
      </c>
      <c r="P244" s="70"/>
      <c r="Q244" s="70"/>
      <c r="R244" s="70"/>
      <c r="S244" s="119"/>
      <c r="T244" s="119"/>
      <c r="U244" s="118"/>
      <c r="V244" s="118"/>
      <c r="W244" s="119"/>
      <c r="X244" s="119"/>
      <c r="Y244" s="118"/>
      <c r="Z244" s="129"/>
      <c r="AA244" s="129"/>
      <c r="AB244" s="129"/>
      <c r="AC244" s="129"/>
      <c r="AD244" s="129"/>
      <c r="AE244" s="129"/>
      <c r="AF244" s="129"/>
      <c r="AL244" s="129"/>
      <c r="AM244" s="344"/>
      <c r="AN244" s="129"/>
      <c r="AO244" s="129"/>
    </row>
    <row r="245" spans="2:25" ht="16.5" thickBot="1">
      <c r="B245" s="63" t="s">
        <v>122</v>
      </c>
      <c r="C245" s="63"/>
      <c r="D245" s="63"/>
      <c r="E245" s="63"/>
      <c r="F245" s="63"/>
      <c r="G245" s="63"/>
      <c r="H245" s="66">
        <v>196523.15</v>
      </c>
      <c r="I245" s="65"/>
      <c r="J245" s="65"/>
      <c r="K245" s="116"/>
      <c r="L245" s="116"/>
      <c r="M245" s="116"/>
      <c r="N245" s="116"/>
      <c r="O245" s="71">
        <v>9772</v>
      </c>
      <c r="P245" s="71">
        <v>9772</v>
      </c>
      <c r="Q245" s="71">
        <v>9772</v>
      </c>
      <c r="R245" s="71">
        <v>196523.15</v>
      </c>
      <c r="S245" s="119"/>
      <c r="T245" s="119"/>
      <c r="U245" s="296">
        <v>196523.15</v>
      </c>
      <c r="V245" s="296">
        <v>196523.15</v>
      </c>
      <c r="W245" s="119"/>
      <c r="X245" s="119"/>
      <c r="Y245" s="296">
        <v>196523.15</v>
      </c>
    </row>
    <row r="246" spans="2:39" ht="16.5">
      <c r="B246" s="63"/>
      <c r="C246" s="63"/>
      <c r="D246" s="63"/>
      <c r="E246" s="63"/>
      <c r="F246" s="63"/>
      <c r="G246" s="63"/>
      <c r="H246" s="72">
        <f>SUM(H236:H245)</f>
        <v>1438772.2599999998</v>
      </c>
      <c r="I246" s="72"/>
      <c r="J246" s="72"/>
      <c r="K246" s="116"/>
      <c r="L246" s="116"/>
      <c r="M246" s="116"/>
      <c r="N246" s="116"/>
      <c r="O246" s="215">
        <f>SUM(O236:O245)</f>
        <v>1128275.08</v>
      </c>
      <c r="P246" s="215">
        <f>SUM(P236:P245)</f>
        <v>1067900.3599999999</v>
      </c>
      <c r="Q246" s="215">
        <f>SUM(Q236:Q245)</f>
        <v>1067900.3599999999</v>
      </c>
      <c r="R246" s="215">
        <f>SUM(R236:R245)</f>
        <v>1741608.28</v>
      </c>
      <c r="S246" s="119"/>
      <c r="T246" s="119"/>
      <c r="U246" s="317">
        <f>SUM(U236:U245)</f>
        <v>1710837.41</v>
      </c>
      <c r="V246" s="317">
        <f>SUM(V236:V245)</f>
        <v>1706427.41</v>
      </c>
      <c r="W246" s="119"/>
      <c r="X246" s="119"/>
      <c r="Y246" s="317">
        <f>SUM(Y236:Y245)</f>
        <v>1471812.2599999998</v>
      </c>
      <c r="AM246" s="545">
        <f>+O246-P246</f>
        <v>60374.720000000205</v>
      </c>
    </row>
    <row r="247" spans="2:25" ht="15.75">
      <c r="B247" s="63" t="s">
        <v>26</v>
      </c>
      <c r="C247" s="63"/>
      <c r="D247" s="63"/>
      <c r="E247" s="187"/>
      <c r="F247" s="63"/>
      <c r="G247" s="63"/>
      <c r="H247" s="64"/>
      <c r="I247" s="64"/>
      <c r="J247" s="64"/>
      <c r="K247" s="116"/>
      <c r="L247" s="116"/>
      <c r="M247" s="116"/>
      <c r="N247" s="116"/>
      <c r="O247" s="132"/>
      <c r="P247" s="132"/>
      <c r="Q247" s="116"/>
      <c r="R247" s="116"/>
      <c r="S247" s="119"/>
      <c r="T247" s="119"/>
      <c r="U247" s="119"/>
      <c r="V247" s="118"/>
      <c r="W247" s="119"/>
      <c r="X247" s="119"/>
      <c r="Y247" s="118"/>
    </row>
    <row r="248" spans="2:25" ht="17.25" thickBot="1">
      <c r="B248" s="63" t="s">
        <v>123</v>
      </c>
      <c r="C248" s="63"/>
      <c r="D248" s="63"/>
      <c r="E248" s="72"/>
      <c r="F248" s="63"/>
      <c r="G248" s="63"/>
      <c r="H248" s="66">
        <v>1306963.61</v>
      </c>
      <c r="I248" s="65"/>
      <c r="J248" s="65"/>
      <c r="K248" s="116"/>
      <c r="L248" s="116"/>
      <c r="M248" s="116"/>
      <c r="N248" s="116"/>
      <c r="O248" s="89">
        <f>+'Depreciación Acumulada'!E51</f>
        <v>1069076.3199999998</v>
      </c>
      <c r="P248" s="89">
        <f>+'Depreciación Acumulada'!F51</f>
        <v>1052937.16</v>
      </c>
      <c r="Q248" s="89">
        <f>+'Depreciación Acumulada'!G51</f>
        <v>1062776.68</v>
      </c>
      <c r="R248" s="89">
        <f>+'Depreciación Acumulada'!H51</f>
        <v>1510787.0899999999</v>
      </c>
      <c r="S248" s="119"/>
      <c r="T248" s="119"/>
      <c r="U248" s="296">
        <v>1434403.49</v>
      </c>
      <c r="V248" s="296">
        <v>1358019.89</v>
      </c>
      <c r="W248" s="119"/>
      <c r="X248" s="119"/>
      <c r="Y248" s="296">
        <v>1322569.36</v>
      </c>
    </row>
    <row r="249" spans="2:25" ht="18.75">
      <c r="B249" s="113" t="s">
        <v>124</v>
      </c>
      <c r="C249" s="63"/>
      <c r="D249" s="63"/>
      <c r="E249" s="63"/>
      <c r="F249" s="63"/>
      <c r="G249" s="63"/>
      <c r="H249" s="72">
        <f>+H246-H248</f>
        <v>131808.64999999967</v>
      </c>
      <c r="I249" s="72"/>
      <c r="J249" s="72"/>
      <c r="K249" s="116"/>
      <c r="L249" s="116"/>
      <c r="M249" s="116"/>
      <c r="N249" s="116"/>
      <c r="O249" s="215">
        <f>+O246-O248</f>
        <v>59198.76000000024</v>
      </c>
      <c r="P249" s="215">
        <f>+P246-P248</f>
        <v>14963.199999999953</v>
      </c>
      <c r="Q249" s="215">
        <f>+Q246-Q248</f>
        <v>5123.679999999935</v>
      </c>
      <c r="R249" s="216">
        <f>+R246-R248</f>
        <v>230821.19000000018</v>
      </c>
      <c r="S249" s="119"/>
      <c r="T249" s="119"/>
      <c r="U249" s="318">
        <f>+U246-U248</f>
        <v>276433.9199999999</v>
      </c>
      <c r="V249" s="318">
        <f>+V246-V248</f>
        <v>348407.52</v>
      </c>
      <c r="W249" s="119"/>
      <c r="X249" s="119"/>
      <c r="Y249" s="318">
        <f>+Y246-Y248</f>
        <v>149242.89999999967</v>
      </c>
    </row>
    <row r="250" spans="2:25" ht="16.5">
      <c r="B250" s="75"/>
      <c r="C250" s="12"/>
      <c r="D250" s="12"/>
      <c r="E250" s="12"/>
      <c r="F250" s="12"/>
      <c r="G250" s="12"/>
      <c r="H250" s="10"/>
      <c r="I250" s="10"/>
      <c r="J250" s="10"/>
      <c r="V250" s="298"/>
      <c r="Y250" s="298"/>
    </row>
    <row r="251" spans="2:25" ht="15">
      <c r="B251" s="12"/>
      <c r="C251" s="12"/>
      <c r="D251" s="12"/>
      <c r="E251" s="12"/>
      <c r="F251" s="12"/>
      <c r="G251" s="12"/>
      <c r="H251" s="6"/>
      <c r="I251" s="6"/>
      <c r="J251" s="6"/>
      <c r="O251" s="614" t="s">
        <v>660</v>
      </c>
      <c r="P251" s="614"/>
      <c r="Q251" s="614"/>
      <c r="R251" s="225"/>
      <c r="Y251" s="298"/>
    </row>
    <row r="252" spans="2:25" ht="18.75">
      <c r="B252" s="113" t="s">
        <v>125</v>
      </c>
      <c r="C252" s="12"/>
      <c r="D252" s="12"/>
      <c r="E252" s="12"/>
      <c r="F252" s="12"/>
      <c r="G252" s="12"/>
      <c r="H252" s="6"/>
      <c r="I252" s="6"/>
      <c r="J252" s="6"/>
      <c r="O252" s="114">
        <v>2022</v>
      </c>
      <c r="P252" s="114">
        <v>2021</v>
      </c>
      <c r="Q252" s="114">
        <v>2020</v>
      </c>
      <c r="R252" s="114">
        <v>2019</v>
      </c>
      <c r="U252" s="289">
        <v>2018</v>
      </c>
      <c r="V252" s="307">
        <v>2017</v>
      </c>
      <c r="W252" s="312"/>
      <c r="X252" s="312"/>
      <c r="Y252" s="307">
        <v>2016</v>
      </c>
    </row>
    <row r="253" spans="2:25" ht="15.75">
      <c r="B253" s="63" t="s">
        <v>29</v>
      </c>
      <c r="C253" s="63"/>
      <c r="D253" s="63"/>
      <c r="E253" s="63"/>
      <c r="F253" s="63"/>
      <c r="G253" s="63"/>
      <c r="H253" s="64">
        <v>193259.18</v>
      </c>
      <c r="I253" s="64"/>
      <c r="J253" s="64"/>
      <c r="K253" s="116"/>
      <c r="L253" s="116"/>
      <c r="M253" s="116"/>
      <c r="N253" s="116"/>
      <c r="O253" s="70">
        <v>366284.46</v>
      </c>
      <c r="P253" s="70">
        <v>366284.46</v>
      </c>
      <c r="Q253" s="70">
        <v>194196.98</v>
      </c>
      <c r="R253" s="70">
        <v>242813.85</v>
      </c>
      <c r="S253" s="119"/>
      <c r="T253" s="119"/>
      <c r="U253" s="118">
        <v>193259.18</v>
      </c>
      <c r="V253" s="118">
        <v>193259.18</v>
      </c>
      <c r="W253" s="119"/>
      <c r="X253" s="119"/>
      <c r="Y253" s="118">
        <v>193259.18</v>
      </c>
    </row>
    <row r="254" spans="2:41" s="172" customFormat="1" ht="15.75">
      <c r="B254" s="63" t="s">
        <v>32</v>
      </c>
      <c r="C254" s="63"/>
      <c r="D254" s="63"/>
      <c r="E254" s="63"/>
      <c r="F254" s="63"/>
      <c r="G254" s="63"/>
      <c r="H254" s="64"/>
      <c r="I254" s="64"/>
      <c r="J254" s="64"/>
      <c r="K254" s="132"/>
      <c r="L254" s="132"/>
      <c r="M254" s="132"/>
      <c r="N254" s="132"/>
      <c r="O254" s="70">
        <v>128353.58</v>
      </c>
      <c r="P254" s="70">
        <v>128353.58</v>
      </c>
      <c r="Q254" s="70"/>
      <c r="R254" s="70"/>
      <c r="S254" s="119"/>
      <c r="T254" s="119"/>
      <c r="U254" s="118"/>
      <c r="V254" s="118"/>
      <c r="W254" s="119"/>
      <c r="X254" s="119"/>
      <c r="Y254" s="118"/>
      <c r="Z254" s="129"/>
      <c r="AA254" s="129"/>
      <c r="AB254" s="129"/>
      <c r="AC254" s="129"/>
      <c r="AD254" s="129"/>
      <c r="AE254" s="129"/>
      <c r="AF254" s="129"/>
      <c r="AL254" s="129"/>
      <c r="AM254" s="344"/>
      <c r="AN254" s="129"/>
      <c r="AO254" s="129"/>
    </row>
    <row r="255" spans="2:25" ht="15.75" hidden="1">
      <c r="B255" s="63" t="s">
        <v>275</v>
      </c>
      <c r="C255" s="63"/>
      <c r="D255" s="63"/>
      <c r="E255" s="63"/>
      <c r="F255" s="63"/>
      <c r="G255" s="63"/>
      <c r="H255" s="64">
        <v>13033.57</v>
      </c>
      <c r="I255" s="64"/>
      <c r="J255" s="64"/>
      <c r="K255" s="116"/>
      <c r="L255" s="116"/>
      <c r="M255" s="116"/>
      <c r="N255" s="116"/>
      <c r="O255" s="70"/>
      <c r="P255" s="70"/>
      <c r="Q255" s="70"/>
      <c r="R255" s="70">
        <v>13033.57</v>
      </c>
      <c r="S255" s="119"/>
      <c r="T255" s="119"/>
      <c r="U255" s="118">
        <v>13033.57</v>
      </c>
      <c r="V255" s="118">
        <v>13033.57</v>
      </c>
      <c r="W255" s="119"/>
      <c r="X255" s="119"/>
      <c r="Y255" s="118">
        <v>13033.57</v>
      </c>
    </row>
    <row r="256" spans="2:25" ht="15.75" hidden="1">
      <c r="B256" s="63" t="s">
        <v>120</v>
      </c>
      <c r="C256" s="63"/>
      <c r="D256" s="63"/>
      <c r="E256" s="63"/>
      <c r="F256" s="63"/>
      <c r="G256" s="63"/>
      <c r="H256" s="64">
        <v>0</v>
      </c>
      <c r="I256" s="64"/>
      <c r="J256" s="64"/>
      <c r="K256" s="116"/>
      <c r="L256" s="116"/>
      <c r="M256" s="116"/>
      <c r="N256" s="116"/>
      <c r="O256" s="70"/>
      <c r="P256" s="70"/>
      <c r="Q256" s="70"/>
      <c r="R256" s="70"/>
      <c r="S256" s="119"/>
      <c r="T256" s="119"/>
      <c r="U256" s="118"/>
      <c r="V256" s="118"/>
      <c r="W256" s="119"/>
      <c r="X256" s="119"/>
      <c r="Y256" s="118"/>
    </row>
    <row r="257" spans="2:25" ht="15.75" hidden="1">
      <c r="B257" s="63" t="s">
        <v>31</v>
      </c>
      <c r="C257" s="63"/>
      <c r="D257" s="63"/>
      <c r="E257" s="63"/>
      <c r="F257" s="63"/>
      <c r="G257" s="63"/>
      <c r="H257" s="64">
        <v>0</v>
      </c>
      <c r="I257" s="64"/>
      <c r="J257" s="64"/>
      <c r="K257" s="116"/>
      <c r="L257" s="116"/>
      <c r="M257" s="116"/>
      <c r="N257" s="116"/>
      <c r="O257" s="70"/>
      <c r="P257" s="70"/>
      <c r="Q257" s="70"/>
      <c r="R257" s="70"/>
      <c r="S257" s="119"/>
      <c r="T257" s="119"/>
      <c r="U257" s="118"/>
      <c r="V257" s="118"/>
      <c r="W257" s="119"/>
      <c r="X257" s="119"/>
      <c r="Y257" s="118"/>
    </row>
    <row r="258" spans="2:25" ht="15.75" hidden="1">
      <c r="B258" s="63" t="s">
        <v>32</v>
      </c>
      <c r="C258" s="63"/>
      <c r="D258" s="63"/>
      <c r="E258" s="63"/>
      <c r="F258" s="63"/>
      <c r="G258" s="63"/>
      <c r="H258" s="64">
        <v>0</v>
      </c>
      <c r="I258" s="64"/>
      <c r="J258" s="64"/>
      <c r="K258" s="116"/>
      <c r="L258" s="116"/>
      <c r="M258" s="116"/>
      <c r="N258" s="116"/>
      <c r="O258" s="70"/>
      <c r="P258" s="70"/>
      <c r="Q258" s="70"/>
      <c r="R258" s="70"/>
      <c r="S258" s="119"/>
      <c r="T258" s="119"/>
      <c r="U258" s="118"/>
      <c r="V258" s="118"/>
      <c r="W258" s="119"/>
      <c r="X258" s="119"/>
      <c r="Y258" s="118"/>
    </row>
    <row r="259" spans="2:25" ht="15.75">
      <c r="B259" s="63" t="s">
        <v>443</v>
      </c>
      <c r="C259" s="63"/>
      <c r="D259" s="63"/>
      <c r="E259" s="63"/>
      <c r="F259" s="63"/>
      <c r="G259" s="63"/>
      <c r="H259" s="64">
        <v>2755</v>
      </c>
      <c r="I259" s="64"/>
      <c r="J259" s="64"/>
      <c r="K259" s="116"/>
      <c r="L259" s="116"/>
      <c r="M259" s="116"/>
      <c r="N259" s="116"/>
      <c r="O259" s="70">
        <v>2755</v>
      </c>
      <c r="P259" s="70">
        <v>2755</v>
      </c>
      <c r="Q259" s="70">
        <v>2755</v>
      </c>
      <c r="R259" s="70">
        <v>2755</v>
      </c>
      <c r="S259" s="119"/>
      <c r="T259" s="119"/>
      <c r="U259" s="118">
        <v>2755</v>
      </c>
      <c r="V259" s="118">
        <v>2755</v>
      </c>
      <c r="W259" s="119"/>
      <c r="X259" s="119"/>
      <c r="Y259" s="118">
        <v>2755</v>
      </c>
    </row>
    <row r="260" spans="2:25" ht="15.75" hidden="1">
      <c r="B260" s="63" t="s">
        <v>121</v>
      </c>
      <c r="C260" s="63"/>
      <c r="D260" s="63"/>
      <c r="E260" s="63"/>
      <c r="F260" s="63"/>
      <c r="G260" s="63"/>
      <c r="H260" s="64">
        <v>0</v>
      </c>
      <c r="I260" s="64"/>
      <c r="J260" s="64"/>
      <c r="K260" s="116"/>
      <c r="L260" s="116"/>
      <c r="M260" s="116"/>
      <c r="N260" s="116"/>
      <c r="O260" s="144"/>
      <c r="P260" s="144"/>
      <c r="Q260" s="144"/>
      <c r="R260" s="144"/>
      <c r="S260" s="119"/>
      <c r="T260" s="119"/>
      <c r="U260" s="118"/>
      <c r="V260" s="118"/>
      <c r="W260" s="119"/>
      <c r="X260" s="119"/>
      <c r="Y260" s="118"/>
    </row>
    <row r="261" spans="2:25" ht="15.75" hidden="1">
      <c r="B261" s="63" t="s">
        <v>492</v>
      </c>
      <c r="C261" s="63"/>
      <c r="D261" s="63"/>
      <c r="E261" s="63"/>
      <c r="F261" s="63"/>
      <c r="G261" s="63"/>
      <c r="H261" s="64">
        <v>15495</v>
      </c>
      <c r="I261" s="64"/>
      <c r="J261" s="64"/>
      <c r="K261" s="116"/>
      <c r="L261" s="116"/>
      <c r="M261" s="116"/>
      <c r="N261" s="116"/>
      <c r="O261" s="70"/>
      <c r="P261" s="70"/>
      <c r="Q261" s="70"/>
      <c r="R261" s="70">
        <v>15495</v>
      </c>
      <c r="S261" s="119"/>
      <c r="T261" s="119"/>
      <c r="U261" s="118">
        <v>15495</v>
      </c>
      <c r="V261" s="118">
        <v>15495</v>
      </c>
      <c r="W261" s="119"/>
      <c r="X261" s="119"/>
      <c r="Y261" s="118">
        <v>15495</v>
      </c>
    </row>
    <row r="262" spans="2:25" ht="15.75">
      <c r="B262" s="63" t="s">
        <v>491</v>
      </c>
      <c r="C262" s="63"/>
      <c r="D262" s="63"/>
      <c r="E262" s="63"/>
      <c r="F262" s="63"/>
      <c r="G262" s="63"/>
      <c r="H262" s="64">
        <v>4995</v>
      </c>
      <c r="I262" s="64"/>
      <c r="J262" s="64"/>
      <c r="K262" s="116"/>
      <c r="L262" s="116"/>
      <c r="M262" s="116"/>
      <c r="N262" s="116"/>
      <c r="O262" s="70">
        <v>4995</v>
      </c>
      <c r="P262" s="70">
        <v>4995</v>
      </c>
      <c r="Q262" s="70">
        <v>4995</v>
      </c>
      <c r="R262" s="70">
        <v>4995</v>
      </c>
      <c r="S262" s="119"/>
      <c r="T262" s="119"/>
      <c r="U262" s="118">
        <v>4995</v>
      </c>
      <c r="V262" s="118">
        <v>4995</v>
      </c>
      <c r="W262" s="119"/>
      <c r="X262" s="119"/>
      <c r="Y262" s="118">
        <v>4995</v>
      </c>
    </row>
    <row r="263" spans="2:25" ht="19.5" thickBot="1">
      <c r="B263" s="135" t="s">
        <v>122</v>
      </c>
      <c r="C263" s="63"/>
      <c r="D263" s="63"/>
      <c r="E263" s="63"/>
      <c r="F263" s="63"/>
      <c r="G263" s="63"/>
      <c r="H263" s="66">
        <v>35453.4</v>
      </c>
      <c r="I263" s="64"/>
      <c r="J263" s="64"/>
      <c r="K263" s="116"/>
      <c r="L263" s="116"/>
      <c r="M263" s="116"/>
      <c r="N263" s="116"/>
      <c r="O263" s="71">
        <v>4708.35</v>
      </c>
      <c r="P263" s="71">
        <v>4708.35</v>
      </c>
      <c r="Q263" s="71">
        <v>4708.35</v>
      </c>
      <c r="R263" s="71">
        <f>35453.4+7056.4</f>
        <v>42509.8</v>
      </c>
      <c r="S263" s="119"/>
      <c r="T263" s="119"/>
      <c r="U263" s="296">
        <f>35453.4+7056.4</f>
        <v>42509.8</v>
      </c>
      <c r="V263" s="296">
        <v>35453.4</v>
      </c>
      <c r="W263" s="119"/>
      <c r="X263" s="119"/>
      <c r="Y263" s="296">
        <v>35453.4</v>
      </c>
    </row>
    <row r="264" spans="2:39" ht="16.5">
      <c r="B264" s="63"/>
      <c r="C264" s="63"/>
      <c r="D264" s="63"/>
      <c r="E264" s="63"/>
      <c r="F264" s="63"/>
      <c r="G264" s="63"/>
      <c r="H264" s="72">
        <f>SUM(H253:H263)</f>
        <v>264991.15</v>
      </c>
      <c r="I264" s="64"/>
      <c r="J264" s="64"/>
      <c r="K264" s="116"/>
      <c r="L264" s="116"/>
      <c r="M264" s="116"/>
      <c r="N264" s="116"/>
      <c r="O264" s="127">
        <f>SUM(O253:O263)</f>
        <v>507096.39</v>
      </c>
      <c r="P264" s="127">
        <f>SUM(P253:P263)</f>
        <v>507096.39</v>
      </c>
      <c r="Q264" s="127">
        <f>SUM(Q253:Q263)</f>
        <v>206655.33000000002</v>
      </c>
      <c r="R264" s="127">
        <f>SUM(R253:R263)</f>
        <v>321602.22000000003</v>
      </c>
      <c r="S264" s="119"/>
      <c r="T264" s="119"/>
      <c r="U264" s="128">
        <f>SUM(U253:U263)</f>
        <v>272047.55</v>
      </c>
      <c r="V264" s="128">
        <f>SUM(V253:V263)</f>
        <v>264991.15</v>
      </c>
      <c r="W264" s="119"/>
      <c r="X264" s="119"/>
      <c r="Y264" s="128">
        <f>SUM(Y253:Y263)</f>
        <v>264991.15</v>
      </c>
      <c r="AM264" s="508">
        <f>+O264-P264</f>
        <v>0</v>
      </c>
    </row>
    <row r="265" spans="2:25" ht="15.75">
      <c r="B265" s="63" t="s">
        <v>26</v>
      </c>
      <c r="C265" s="63"/>
      <c r="D265" s="63"/>
      <c r="E265" s="63"/>
      <c r="F265" s="63"/>
      <c r="G265" s="63"/>
      <c r="H265" s="64"/>
      <c r="I265" s="64"/>
      <c r="J265" s="64"/>
      <c r="K265" s="116"/>
      <c r="L265" s="116"/>
      <c r="M265" s="116"/>
      <c r="N265" s="116"/>
      <c r="O265" s="132"/>
      <c r="P265" s="132"/>
      <c r="Q265" s="116"/>
      <c r="R265" s="116"/>
      <c r="S265" s="119"/>
      <c r="T265" s="119"/>
      <c r="U265" s="119"/>
      <c r="V265" s="118"/>
      <c r="W265" s="119"/>
      <c r="X265" s="119"/>
      <c r="Y265" s="118"/>
    </row>
    <row r="266" spans="2:25" ht="16.5" thickBot="1">
      <c r="B266" s="63" t="s">
        <v>123</v>
      </c>
      <c r="C266" s="63"/>
      <c r="D266" s="63"/>
      <c r="E266" s="63"/>
      <c r="F266" s="63"/>
      <c r="G266" s="63"/>
      <c r="H266" s="66">
        <v>229482.25</v>
      </c>
      <c r="I266" s="64"/>
      <c r="J266" s="64"/>
      <c r="K266" s="116"/>
      <c r="L266" s="116"/>
      <c r="M266" s="116"/>
      <c r="N266" s="116"/>
      <c r="O266" s="89">
        <f>+'Depreciación Acumulada'!E67</f>
        <v>184666.74</v>
      </c>
      <c r="P266" s="89">
        <f>+'Depreciación Acumulada'!F67</f>
        <v>151976.58</v>
      </c>
      <c r="Q266" s="89">
        <f>+'Depreciación Acumulada'!G67</f>
        <v>146825.8</v>
      </c>
      <c r="R266" s="89">
        <f>+'Depreciación Acumulada'!H67</f>
        <v>270092.22</v>
      </c>
      <c r="S266" s="119"/>
      <c r="T266" s="119"/>
      <c r="U266" s="296">
        <v>266538.32</v>
      </c>
      <c r="V266" s="296">
        <v>262984.5</v>
      </c>
      <c r="W266" s="119"/>
      <c r="X266" s="119"/>
      <c r="Y266" s="296">
        <v>256976.35</v>
      </c>
    </row>
    <row r="267" spans="2:25" ht="18.75">
      <c r="B267" s="113" t="s">
        <v>124</v>
      </c>
      <c r="C267" s="63"/>
      <c r="D267" s="63"/>
      <c r="E267" s="63"/>
      <c r="F267" s="63"/>
      <c r="G267" s="63"/>
      <c r="H267" s="72">
        <f>+H264-H266</f>
        <v>35508.90000000002</v>
      </c>
      <c r="I267" s="64"/>
      <c r="J267" s="64"/>
      <c r="K267" s="116"/>
      <c r="L267" s="116"/>
      <c r="M267" s="116"/>
      <c r="N267" s="116"/>
      <c r="O267" s="127">
        <f>+O264-O266</f>
        <v>322429.65</v>
      </c>
      <c r="P267" s="127">
        <f>+P264-P266</f>
        <v>355119.81000000006</v>
      </c>
      <c r="Q267" s="127">
        <f>+Q264-Q266</f>
        <v>59829.53000000003</v>
      </c>
      <c r="R267" s="127">
        <f>+R264-R266</f>
        <v>51510.00000000006</v>
      </c>
      <c r="S267" s="119"/>
      <c r="T267" s="119"/>
      <c r="U267" s="128">
        <f>+U264-U266</f>
        <v>5509.229999999981</v>
      </c>
      <c r="V267" s="128">
        <f>+V264-V266</f>
        <v>2006.6500000000233</v>
      </c>
      <c r="W267" s="119"/>
      <c r="X267" s="119"/>
      <c r="Y267" s="128">
        <f>+Y264-Y266</f>
        <v>8014.8000000000175</v>
      </c>
    </row>
    <row r="268" spans="2:25" ht="18.75">
      <c r="B268" s="113"/>
      <c r="C268" s="63"/>
      <c r="D268" s="63"/>
      <c r="E268" s="63"/>
      <c r="F268" s="63"/>
      <c r="G268" s="63"/>
      <c r="H268" s="72"/>
      <c r="I268" s="64"/>
      <c r="J268" s="64"/>
      <c r="K268" s="116"/>
      <c r="L268" s="116"/>
      <c r="M268" s="116"/>
      <c r="N268" s="116"/>
      <c r="O268" s="132"/>
      <c r="P268" s="132"/>
      <c r="Q268" s="116"/>
      <c r="R268" s="127"/>
      <c r="S268" s="119"/>
      <c r="T268" s="119"/>
      <c r="U268" s="128"/>
      <c r="V268" s="128"/>
      <c r="W268" s="119"/>
      <c r="X268" s="119"/>
      <c r="Y268" s="128"/>
    </row>
    <row r="269" spans="2:25" ht="18.75">
      <c r="B269" s="113"/>
      <c r="C269" s="63"/>
      <c r="D269" s="63"/>
      <c r="E269" s="63"/>
      <c r="F269" s="63"/>
      <c r="G269" s="63"/>
      <c r="H269" s="72"/>
      <c r="I269" s="64"/>
      <c r="J269" s="64"/>
      <c r="K269" s="116"/>
      <c r="L269" s="116"/>
      <c r="M269" s="116"/>
      <c r="N269" s="116"/>
      <c r="O269" s="132"/>
      <c r="P269" s="132"/>
      <c r="Q269" s="116"/>
      <c r="R269" s="127"/>
      <c r="S269" s="119"/>
      <c r="T269" s="119"/>
      <c r="U269" s="128"/>
      <c r="V269" s="128"/>
      <c r="W269" s="119"/>
      <c r="X269" s="119"/>
      <c r="Y269" s="128"/>
    </row>
    <row r="270" spans="2:25" ht="16.5">
      <c r="B270" s="75"/>
      <c r="C270" s="63"/>
      <c r="D270" s="63"/>
      <c r="E270" s="63"/>
      <c r="F270" s="63"/>
      <c r="G270" s="63"/>
      <c r="H270" s="72"/>
      <c r="I270" s="64"/>
      <c r="J270" s="64"/>
      <c r="K270" s="116"/>
      <c r="L270" s="116"/>
      <c r="M270" s="116"/>
      <c r="N270" s="116"/>
      <c r="O270" s="614" t="s">
        <v>660</v>
      </c>
      <c r="P270" s="614"/>
      <c r="Q270" s="614"/>
      <c r="R270" s="225"/>
      <c r="S270" s="119"/>
      <c r="T270" s="119"/>
      <c r="U270" s="128"/>
      <c r="V270" s="128"/>
      <c r="W270" s="119"/>
      <c r="X270" s="119"/>
      <c r="Y270" s="128"/>
    </row>
    <row r="271" spans="2:25" ht="18" customHeight="1">
      <c r="B271" s="75"/>
      <c r="C271" s="63"/>
      <c r="D271" s="63"/>
      <c r="E271" s="63"/>
      <c r="F271" s="63"/>
      <c r="G271" s="63"/>
      <c r="H271" s="72"/>
      <c r="I271" s="64"/>
      <c r="J271" s="64"/>
      <c r="K271" s="116"/>
      <c r="L271" s="116"/>
      <c r="M271" s="116"/>
      <c r="N271" s="116"/>
      <c r="O271" s="114">
        <v>2022</v>
      </c>
      <c r="P271" s="114">
        <v>2021</v>
      </c>
      <c r="Q271" s="114">
        <v>2020</v>
      </c>
      <c r="R271" s="114">
        <v>2019</v>
      </c>
      <c r="S271" s="119"/>
      <c r="T271" s="119"/>
      <c r="U271" s="128"/>
      <c r="V271" s="128"/>
      <c r="W271" s="119"/>
      <c r="X271" s="119"/>
      <c r="Y271" s="128"/>
    </row>
    <row r="272" spans="2:25" ht="19.5" thickBot="1">
      <c r="B272" s="113" t="s">
        <v>621</v>
      </c>
      <c r="C272" s="12"/>
      <c r="D272" s="12"/>
      <c r="E272" s="12"/>
      <c r="F272" s="12"/>
      <c r="G272" s="12"/>
      <c r="H272" s="12"/>
      <c r="I272" s="12"/>
      <c r="J272" s="64"/>
      <c r="K272" s="116"/>
      <c r="L272" s="116"/>
      <c r="M272" s="116"/>
      <c r="N272" s="116"/>
      <c r="O272" s="132"/>
      <c r="P272" s="132"/>
      <c r="R272" s="71">
        <v>204959.97</v>
      </c>
      <c r="T272" s="119"/>
      <c r="U272" s="319"/>
      <c r="V272" s="128"/>
      <c r="W272" s="119"/>
      <c r="X272" s="119"/>
      <c r="Y272" s="128"/>
    </row>
    <row r="273" spans="2:25" ht="19.5" thickBot="1">
      <c r="B273" s="12" t="s">
        <v>29</v>
      </c>
      <c r="C273" s="12"/>
      <c r="D273" s="12"/>
      <c r="E273" s="12"/>
      <c r="F273" s="12"/>
      <c r="G273" s="12"/>
      <c r="H273" s="96">
        <v>204959.97</v>
      </c>
      <c r="I273" s="96"/>
      <c r="J273" s="6"/>
      <c r="O273" s="71">
        <v>98960</v>
      </c>
      <c r="P273" s="71">
        <v>98960</v>
      </c>
      <c r="Q273" s="71">
        <v>98960</v>
      </c>
      <c r="R273" s="127">
        <f>SUM(R272)</f>
        <v>204959.97</v>
      </c>
      <c r="U273" s="311">
        <f>+U272</f>
        <v>0</v>
      </c>
      <c r="V273" s="307">
        <v>2017</v>
      </c>
      <c r="W273" s="312"/>
      <c r="X273" s="312"/>
      <c r="Y273" s="307">
        <v>2016</v>
      </c>
    </row>
    <row r="274" spans="2:41" s="172" customFormat="1" ht="18.75">
      <c r="B274" s="12"/>
      <c r="C274" s="12"/>
      <c r="D274" s="12"/>
      <c r="E274" s="12"/>
      <c r="F274" s="12"/>
      <c r="G274" s="12"/>
      <c r="H274" s="234"/>
      <c r="I274" s="234"/>
      <c r="J274" s="6"/>
      <c r="O274" s="127">
        <f>SUM(O273)</f>
        <v>98960</v>
      </c>
      <c r="P274" s="127">
        <f>SUM(P273)</f>
        <v>98960</v>
      </c>
      <c r="Q274" s="127">
        <f>SUM(Q273)</f>
        <v>98960</v>
      </c>
      <c r="R274" s="127"/>
      <c r="S274" s="129"/>
      <c r="T274" s="129"/>
      <c r="U274" s="311"/>
      <c r="V274" s="307"/>
      <c r="W274" s="312"/>
      <c r="X274" s="312"/>
      <c r="Y274" s="307"/>
      <c r="Z274" s="129"/>
      <c r="AA274" s="129"/>
      <c r="AB274" s="129"/>
      <c r="AC274" s="129"/>
      <c r="AD274" s="129"/>
      <c r="AE274" s="129"/>
      <c r="AF274" s="129"/>
      <c r="AL274" s="129"/>
      <c r="AM274" s="508">
        <f>+O274-P274</f>
        <v>0</v>
      </c>
      <c r="AN274" s="129"/>
      <c r="AO274" s="129"/>
    </row>
    <row r="275" spans="2:25" ht="16.5">
      <c r="B275" s="12" t="s">
        <v>26</v>
      </c>
      <c r="C275" s="12"/>
      <c r="D275" s="12"/>
      <c r="E275" s="12"/>
      <c r="F275" s="12"/>
      <c r="G275" s="12"/>
      <c r="H275" s="97">
        <f>SUM(H273)</f>
        <v>204959.97</v>
      </c>
      <c r="I275" s="97">
        <f>+I273</f>
        <v>0</v>
      </c>
      <c r="J275" s="64"/>
      <c r="K275" s="116"/>
      <c r="L275" s="116"/>
      <c r="M275" s="116"/>
      <c r="N275" s="116"/>
      <c r="O275" s="132"/>
      <c r="P275" s="132"/>
      <c r="R275" s="12"/>
      <c r="T275" s="119"/>
      <c r="U275" s="299"/>
      <c r="V275" s="118">
        <v>193259.18</v>
      </c>
      <c r="W275" s="119"/>
      <c r="X275" s="119"/>
      <c r="Y275" s="118">
        <v>193259.18</v>
      </c>
    </row>
    <row r="276" spans="2:25" ht="17.25" thickBot="1">
      <c r="B276" s="12" t="s">
        <v>123</v>
      </c>
      <c r="C276" s="12"/>
      <c r="D276" s="12"/>
      <c r="E276" s="12"/>
      <c r="F276" s="12"/>
      <c r="G276" s="12"/>
      <c r="H276" s="12"/>
      <c r="I276" s="12"/>
      <c r="J276" s="64"/>
      <c r="K276" s="116"/>
      <c r="L276" s="116"/>
      <c r="M276" s="116"/>
      <c r="N276" s="116"/>
      <c r="O276" s="71">
        <f>+'Depreciación Acumulada'!E74</f>
        <v>35771.48</v>
      </c>
      <c r="P276" s="71">
        <f>+'Depreciación Acumulada'!F74</f>
        <v>25876.88</v>
      </c>
      <c r="Q276" s="71">
        <f>+'Depreciación Acumulada'!G74</f>
        <v>15982.28</v>
      </c>
      <c r="R276" s="71">
        <f>+'Depreciación Acumulada'!H74</f>
        <v>25620</v>
      </c>
      <c r="T276" s="119"/>
      <c r="U276" s="319"/>
      <c r="V276" s="128">
        <f>SUM(V275:V275)</f>
        <v>193259.18</v>
      </c>
      <c r="W276" s="119"/>
      <c r="X276" s="119"/>
      <c r="Y276" s="128">
        <f>SUM(Y275:Y275)</f>
        <v>193259.18</v>
      </c>
    </row>
    <row r="277" spans="2:25" ht="19.5" thickBot="1">
      <c r="B277" s="113" t="s">
        <v>124</v>
      </c>
      <c r="C277" s="12"/>
      <c r="D277" s="12"/>
      <c r="E277" s="12"/>
      <c r="F277" s="12"/>
      <c r="G277" s="12"/>
      <c r="H277" s="96">
        <f>+'[1]Depreciación Acumulada'!B61</f>
        <v>0</v>
      </c>
      <c r="I277" s="96"/>
      <c r="J277" s="64"/>
      <c r="K277" s="116"/>
      <c r="L277" s="116"/>
      <c r="M277" s="116"/>
      <c r="N277" s="116"/>
      <c r="O277" s="127">
        <f>+O274-O276</f>
        <v>63188.52</v>
      </c>
      <c r="P277" s="127">
        <f>+P274-P276</f>
        <v>73083.12</v>
      </c>
      <c r="Q277" s="127">
        <f>+Q274-Q276</f>
        <v>82977.72</v>
      </c>
      <c r="R277" s="127">
        <f>+R272-R276</f>
        <v>179339.97</v>
      </c>
      <c r="T277" s="119"/>
      <c r="U277" s="311">
        <f>+U272-U276</f>
        <v>0</v>
      </c>
      <c r="V277" s="118"/>
      <c r="W277" s="119"/>
      <c r="X277" s="119"/>
      <c r="Y277" s="118"/>
    </row>
    <row r="278" spans="3:25" ht="17.25" thickBot="1">
      <c r="C278" s="12"/>
      <c r="D278" s="12"/>
      <c r="E278" s="12"/>
      <c r="F278" s="12"/>
      <c r="G278" s="12"/>
      <c r="H278" s="97">
        <f>+H273-H277</f>
        <v>204959.97</v>
      </c>
      <c r="I278" s="97">
        <f>+I273-I277</f>
        <v>0</v>
      </c>
      <c r="J278" s="64"/>
      <c r="K278" s="116"/>
      <c r="L278" s="116"/>
      <c r="M278" s="116"/>
      <c r="N278" s="116"/>
      <c r="O278" s="132"/>
      <c r="P278" s="132"/>
      <c r="Q278" s="116"/>
      <c r="R278" s="16"/>
      <c r="T278" s="119"/>
      <c r="U278" s="298"/>
      <c r="V278" s="296">
        <v>262984.5</v>
      </c>
      <c r="W278" s="119"/>
      <c r="X278" s="119"/>
      <c r="Y278" s="296">
        <v>256976.35</v>
      </c>
    </row>
    <row r="279" spans="2:25" ht="16.5">
      <c r="B279" s="12"/>
      <c r="C279" s="12"/>
      <c r="D279" s="12"/>
      <c r="E279" s="12"/>
      <c r="F279" s="12"/>
      <c r="G279" s="12"/>
      <c r="H279" s="16"/>
      <c r="I279" s="16"/>
      <c r="J279" s="64"/>
      <c r="K279" s="116"/>
      <c r="L279" s="116"/>
      <c r="M279" s="116"/>
      <c r="N279" s="116"/>
      <c r="O279" s="614" t="s">
        <v>660</v>
      </c>
      <c r="P279" s="614"/>
      <c r="Q279" s="614"/>
      <c r="R279" s="225"/>
      <c r="T279" s="119"/>
      <c r="U279" s="299"/>
      <c r="V279" s="128">
        <f>+V276-V278</f>
        <v>-69725.32</v>
      </c>
      <c r="W279" s="119"/>
      <c r="X279" s="119"/>
      <c r="Y279" s="128">
        <f>+Y276-Y278</f>
        <v>-63717.17000000001</v>
      </c>
    </row>
    <row r="280" spans="2:25" ht="18.75">
      <c r="B280" s="113" t="s">
        <v>622</v>
      </c>
      <c r="C280" s="12"/>
      <c r="D280" s="12"/>
      <c r="E280" s="12"/>
      <c r="F280" s="12"/>
      <c r="G280" s="12"/>
      <c r="H280" s="12"/>
      <c r="I280" s="12"/>
      <c r="J280" s="64"/>
      <c r="K280" s="116"/>
      <c r="L280" s="116"/>
      <c r="M280" s="116"/>
      <c r="N280" s="116"/>
      <c r="O280" s="114">
        <v>2022</v>
      </c>
      <c r="P280" s="114">
        <v>2021</v>
      </c>
      <c r="Q280" s="114">
        <v>2020</v>
      </c>
      <c r="R280" s="114">
        <v>2019</v>
      </c>
      <c r="T280" s="119"/>
      <c r="U280" s="299"/>
      <c r="V280" s="128"/>
      <c r="W280" s="119"/>
      <c r="X280" s="119"/>
      <c r="Y280" s="128"/>
    </row>
    <row r="281" spans="2:39" ht="16.5" thickBot="1">
      <c r="B281" s="12" t="s">
        <v>29</v>
      </c>
      <c r="C281" s="12"/>
      <c r="D281" s="12"/>
      <c r="E281" s="12"/>
      <c r="F281" s="12"/>
      <c r="G281" s="12"/>
      <c r="H281" s="12"/>
      <c r="I281" s="12"/>
      <c r="J281" s="64"/>
      <c r="K281" s="116"/>
      <c r="L281" s="116"/>
      <c r="M281" s="116"/>
      <c r="N281" s="116"/>
      <c r="O281" s="71">
        <v>122771.15</v>
      </c>
      <c r="P281" s="71">
        <v>122771.15</v>
      </c>
      <c r="Q281" s="71">
        <v>123476.44</v>
      </c>
      <c r="R281" s="71">
        <v>123476.44</v>
      </c>
      <c r="T281" s="119"/>
      <c r="U281" s="319"/>
      <c r="V281" s="118"/>
      <c r="W281" s="119"/>
      <c r="X281" s="119"/>
      <c r="Y281" s="118"/>
      <c r="AM281" s="508">
        <f>+O281-P281</f>
        <v>0</v>
      </c>
    </row>
    <row r="282" spans="2:25" ht="17.25" hidden="1" thickBot="1">
      <c r="B282" s="12" t="s">
        <v>29</v>
      </c>
      <c r="C282" s="12"/>
      <c r="D282" s="12"/>
      <c r="E282" s="12"/>
      <c r="F282" s="12"/>
      <c r="G282" s="12"/>
      <c r="H282" s="96">
        <v>123476.44</v>
      </c>
      <c r="I282" s="96"/>
      <c r="J282" s="64"/>
      <c r="K282" s="116"/>
      <c r="L282" s="116"/>
      <c r="M282" s="116"/>
      <c r="N282" s="116"/>
      <c r="O282" s="132"/>
      <c r="P282" s="132"/>
      <c r="Q282" s="116"/>
      <c r="R282" s="97">
        <f>SUM(R281)</f>
        <v>123476.44</v>
      </c>
      <c r="S282" s="311">
        <f>+U281</f>
        <v>0</v>
      </c>
      <c r="T282" s="119"/>
      <c r="U282" s="119"/>
      <c r="V282" s="118"/>
      <c r="W282" s="119"/>
      <c r="X282" s="119"/>
      <c r="Y282" s="118"/>
    </row>
    <row r="283" spans="2:25" ht="16.5" hidden="1">
      <c r="B283" s="12"/>
      <c r="C283" s="12"/>
      <c r="D283" s="12"/>
      <c r="E283" s="12"/>
      <c r="F283" s="12"/>
      <c r="G283" s="12"/>
      <c r="H283" s="97">
        <f>SUM(H282)</f>
        <v>123476.44</v>
      </c>
      <c r="I283" s="97">
        <f>+I282</f>
        <v>0</v>
      </c>
      <c r="J283" s="64"/>
      <c r="K283" s="116"/>
      <c r="L283" s="116"/>
      <c r="M283" s="116"/>
      <c r="N283" s="116"/>
      <c r="O283" s="132"/>
      <c r="P283" s="132"/>
      <c r="Q283" s="116"/>
      <c r="R283" s="12"/>
      <c r="S283" s="299"/>
      <c r="T283" s="119"/>
      <c r="U283" s="119"/>
      <c r="V283" s="118"/>
      <c r="W283" s="119"/>
      <c r="X283" s="119"/>
      <c r="Y283" s="118"/>
    </row>
    <row r="284" spans="2:25" ht="16.5" hidden="1" thickBot="1">
      <c r="B284" s="12" t="s">
        <v>26</v>
      </c>
      <c r="C284" s="12"/>
      <c r="D284" s="12"/>
      <c r="E284" s="12"/>
      <c r="F284" s="12"/>
      <c r="G284" s="12"/>
      <c r="H284" s="12"/>
      <c r="I284" s="12"/>
      <c r="J284" s="64"/>
      <c r="K284" s="116"/>
      <c r="L284" s="116"/>
      <c r="M284" s="116"/>
      <c r="N284" s="116"/>
      <c r="O284" s="132"/>
      <c r="P284" s="132"/>
      <c r="Q284" s="116"/>
      <c r="R284" s="96" t="str">
        <f>+'[1]Depreciación Acumulada'!H67</f>
        <v>ok</v>
      </c>
      <c r="S284" s="319">
        <f>+'[1]Depreciación Acumulada'!J67</f>
        <v>0</v>
      </c>
      <c r="T284" s="119"/>
      <c r="U284" s="119"/>
      <c r="V284" s="118"/>
      <c r="W284" s="119"/>
      <c r="X284" s="119"/>
      <c r="Y284" s="118"/>
    </row>
    <row r="285" spans="2:25" ht="17.25" hidden="1" thickBot="1">
      <c r="B285" s="12" t="s">
        <v>123</v>
      </c>
      <c r="C285" s="12"/>
      <c r="D285" s="12"/>
      <c r="E285" s="12"/>
      <c r="F285" s="12"/>
      <c r="G285" s="12"/>
      <c r="H285" s="96">
        <f>+'[1]Depreciación Acumulada'!B68</f>
        <v>0</v>
      </c>
      <c r="I285" s="96">
        <f>+'[1]Depreciación Acumulada'!D68</f>
        <v>4995</v>
      </c>
      <c r="J285" s="64"/>
      <c r="K285" s="116"/>
      <c r="L285" s="116"/>
      <c r="M285" s="116"/>
      <c r="N285" s="116"/>
      <c r="O285" s="132"/>
      <c r="P285" s="132"/>
      <c r="Q285" s="116"/>
      <c r="R285" s="97" t="e">
        <f>+R281-R284</f>
        <v>#VALUE!</v>
      </c>
      <c r="S285" s="311">
        <f>+U281-S284</f>
        <v>0</v>
      </c>
      <c r="T285" s="119"/>
      <c r="U285" s="119"/>
      <c r="V285" s="118"/>
      <c r="W285" s="119"/>
      <c r="X285" s="119"/>
      <c r="Y285" s="118"/>
    </row>
    <row r="286" spans="2:25" ht="16.5" hidden="1">
      <c r="B286" s="75" t="s">
        <v>124</v>
      </c>
      <c r="C286" s="12"/>
      <c r="D286" s="12"/>
      <c r="E286" s="12"/>
      <c r="F286" s="12"/>
      <c r="G286" s="12"/>
      <c r="H286" s="97">
        <f>+H282-H285</f>
        <v>123476.44</v>
      </c>
      <c r="I286" s="97">
        <f>+I282-I285</f>
        <v>-4995</v>
      </c>
      <c r="J286" s="64"/>
      <c r="K286" s="116"/>
      <c r="L286" s="116"/>
      <c r="M286" s="116"/>
      <c r="N286" s="116"/>
      <c r="O286" s="132"/>
      <c r="P286" s="132"/>
      <c r="Q286" s="116"/>
      <c r="R286" s="116"/>
      <c r="S286" s="119"/>
      <c r="T286" s="119"/>
      <c r="U286" s="119"/>
      <c r="V286" s="118"/>
      <c r="W286" s="119"/>
      <c r="X286" s="119"/>
      <c r="Y286" s="118"/>
    </row>
    <row r="287" spans="2:25" ht="15.75" hidden="1">
      <c r="B287" s="63" t="s">
        <v>26</v>
      </c>
      <c r="C287" s="63"/>
      <c r="D287" s="63"/>
      <c r="E287" s="63"/>
      <c r="F287" s="63"/>
      <c r="G287" s="63"/>
      <c r="H287" s="64"/>
      <c r="I287" s="64"/>
      <c r="J287" s="64"/>
      <c r="K287" s="116"/>
      <c r="L287" s="116"/>
      <c r="M287" s="116"/>
      <c r="N287" s="116"/>
      <c r="O287" s="132"/>
      <c r="P287" s="132"/>
      <c r="Q287" s="116"/>
      <c r="R287" s="116"/>
      <c r="S287" s="119"/>
      <c r="T287" s="119"/>
      <c r="U287" s="119"/>
      <c r="V287" s="118"/>
      <c r="W287" s="119"/>
      <c r="X287" s="119"/>
      <c r="Y287" s="118"/>
    </row>
    <row r="288" spans="2:25" ht="16.5" hidden="1" thickBot="1">
      <c r="B288" s="63" t="s">
        <v>123</v>
      </c>
      <c r="C288" s="63"/>
      <c r="D288" s="63"/>
      <c r="E288" s="63"/>
      <c r="F288" s="63"/>
      <c r="G288" s="63"/>
      <c r="H288" s="66"/>
      <c r="I288" s="64"/>
      <c r="J288" s="64"/>
      <c r="K288" s="116"/>
      <c r="L288" s="116"/>
      <c r="M288" s="116"/>
      <c r="N288" s="116"/>
      <c r="O288" s="132"/>
      <c r="P288" s="132"/>
      <c r="Q288" s="116"/>
      <c r="R288" s="116"/>
      <c r="S288" s="119"/>
      <c r="T288" s="119"/>
      <c r="U288" s="119"/>
      <c r="V288" s="118"/>
      <c r="W288" s="119"/>
      <c r="X288" s="119"/>
      <c r="Y288" s="118"/>
    </row>
    <row r="289" spans="2:25" ht="16.5" hidden="1">
      <c r="B289" s="75" t="s">
        <v>124</v>
      </c>
      <c r="C289" s="63"/>
      <c r="D289" s="63"/>
      <c r="E289" s="63"/>
      <c r="F289" s="63"/>
      <c r="G289" s="63"/>
      <c r="H289" s="72">
        <f>+H286-H288</f>
        <v>123476.44</v>
      </c>
      <c r="I289" s="64"/>
      <c r="J289" s="64"/>
      <c r="K289" s="116"/>
      <c r="L289" s="116"/>
      <c r="M289" s="116"/>
      <c r="N289" s="116"/>
      <c r="O289" s="132"/>
      <c r="P289" s="132"/>
      <c r="Q289" s="116"/>
      <c r="R289" s="116"/>
      <c r="S289" s="119"/>
      <c r="T289" s="119"/>
      <c r="U289" s="119"/>
      <c r="V289" s="118"/>
      <c r="W289" s="119"/>
      <c r="X289" s="119"/>
      <c r="Y289" s="118"/>
    </row>
    <row r="290" spans="2:25" ht="15.75" hidden="1">
      <c r="B290" s="63"/>
      <c r="C290" s="63"/>
      <c r="D290" s="63"/>
      <c r="E290" s="63"/>
      <c r="F290" s="63"/>
      <c r="G290" s="63"/>
      <c r="H290" s="64"/>
      <c r="I290" s="64"/>
      <c r="J290" s="64"/>
      <c r="K290" s="116"/>
      <c r="L290" s="116"/>
      <c r="M290" s="116"/>
      <c r="N290" s="116"/>
      <c r="O290" s="132"/>
      <c r="P290" s="132"/>
      <c r="Q290" s="116"/>
      <c r="R290" s="116"/>
      <c r="S290" s="119"/>
      <c r="T290" s="119"/>
      <c r="U290" s="119"/>
      <c r="V290" s="118"/>
      <c r="W290" s="119"/>
      <c r="X290" s="119"/>
      <c r="Y290" s="118"/>
    </row>
    <row r="291" spans="2:25" ht="15.75">
      <c r="B291" s="12" t="s">
        <v>26</v>
      </c>
      <c r="C291" s="63"/>
      <c r="D291" s="63"/>
      <c r="E291" s="63"/>
      <c r="F291" s="63"/>
      <c r="G291" s="63"/>
      <c r="H291" s="64"/>
      <c r="I291" s="64"/>
      <c r="J291" s="64"/>
      <c r="K291" s="116"/>
      <c r="L291" s="116"/>
      <c r="M291" s="116"/>
      <c r="N291" s="116"/>
      <c r="O291" s="132"/>
      <c r="P291" s="132"/>
      <c r="Q291" s="116"/>
      <c r="R291" s="116"/>
      <c r="S291" s="119"/>
      <c r="T291" s="119"/>
      <c r="U291" s="119"/>
      <c r="V291" s="118"/>
      <c r="W291" s="119"/>
      <c r="X291" s="119"/>
      <c r="Y291" s="118"/>
    </row>
    <row r="292" spans="2:25" ht="16.5" thickBot="1">
      <c r="B292" s="12" t="s">
        <v>123</v>
      </c>
      <c r="C292" s="12"/>
      <c r="D292" s="12"/>
      <c r="E292" s="12"/>
      <c r="F292" s="12"/>
      <c r="G292" s="12"/>
      <c r="H292" s="64"/>
      <c r="I292" s="64"/>
      <c r="J292" s="64"/>
      <c r="K292" s="116"/>
      <c r="L292" s="116"/>
      <c r="M292" s="116"/>
      <c r="N292" s="116"/>
      <c r="O292" s="71">
        <f>+'Depreciación Acumulada'!E80</f>
        <v>43188.91</v>
      </c>
      <c r="P292" s="71">
        <f>+'Depreciación Acumulada'!F80</f>
        <v>30849.19</v>
      </c>
      <c r="Q292" s="71">
        <f>+'Depreciación Acumulada'!G80</f>
        <v>18509.47</v>
      </c>
      <c r="R292" s="71">
        <f>+'Depreciación Acumulada'!H80</f>
        <v>15434.56</v>
      </c>
      <c r="S292" s="119"/>
      <c r="T292" s="119"/>
      <c r="U292" s="119"/>
      <c r="V292" s="118"/>
      <c r="W292" s="119"/>
      <c r="X292" s="119"/>
      <c r="Y292" s="118"/>
    </row>
    <row r="293" spans="2:25" ht="16.5">
      <c r="B293" s="75" t="s">
        <v>124</v>
      </c>
      <c r="C293" s="12"/>
      <c r="D293" s="12"/>
      <c r="E293" s="12"/>
      <c r="F293" s="12"/>
      <c r="G293" s="12"/>
      <c r="H293" s="64"/>
      <c r="I293" s="64"/>
      <c r="J293" s="64"/>
      <c r="K293" s="116"/>
      <c r="L293" s="116"/>
      <c r="M293" s="116"/>
      <c r="N293" s="116"/>
      <c r="O293" s="127">
        <f>+O281-O292</f>
        <v>79582.23999999999</v>
      </c>
      <c r="P293" s="127">
        <f>+P281-P292</f>
        <v>91921.95999999999</v>
      </c>
      <c r="Q293" s="127">
        <f>+Q281-Q292</f>
        <v>104966.97</v>
      </c>
      <c r="R293" s="127">
        <f>+R281-R292</f>
        <v>108041.88</v>
      </c>
      <c r="S293" s="119"/>
      <c r="T293" s="119"/>
      <c r="U293" s="119"/>
      <c r="V293" s="118"/>
      <c r="W293" s="119"/>
      <c r="X293" s="119"/>
      <c r="Y293" s="118"/>
    </row>
    <row r="294" spans="2:25" ht="16.5">
      <c r="B294" s="75"/>
      <c r="C294" s="12"/>
      <c r="D294" s="12"/>
      <c r="E294" s="12"/>
      <c r="F294" s="12"/>
      <c r="G294" s="12"/>
      <c r="H294" s="64"/>
      <c r="I294" s="64"/>
      <c r="J294" s="64"/>
      <c r="K294" s="116"/>
      <c r="L294" s="116"/>
      <c r="M294" s="116"/>
      <c r="N294" s="116"/>
      <c r="O294" s="132"/>
      <c r="P294" s="132"/>
      <c r="Q294" s="98"/>
      <c r="R294" s="98"/>
      <c r="S294" s="119"/>
      <c r="T294" s="119"/>
      <c r="U294" s="295"/>
      <c r="V294" s="118"/>
      <c r="W294" s="119"/>
      <c r="X294" s="119"/>
      <c r="Y294" s="118"/>
    </row>
    <row r="295" spans="2:40" ht="21" thickBot="1">
      <c r="B295" s="186" t="s">
        <v>128</v>
      </c>
      <c r="C295" s="63"/>
      <c r="D295" s="63"/>
      <c r="E295" s="63"/>
      <c r="F295" s="63"/>
      <c r="G295" s="63"/>
      <c r="H295" s="134">
        <f>+H211+H232+H249+H267+H289</f>
        <v>5793388.460000007</v>
      </c>
      <c r="I295" s="64"/>
      <c r="J295" s="64"/>
      <c r="K295" s="116"/>
      <c r="L295" s="116"/>
      <c r="M295" s="116"/>
      <c r="N295" s="116"/>
      <c r="O295" s="127">
        <f>+O211+O232+O249+O267+O277+O293</f>
        <v>16417747.38</v>
      </c>
      <c r="P295" s="127">
        <f>+P211+P232+P249+P267+P277+P293</f>
        <v>15225944.22</v>
      </c>
      <c r="Q295" s="127">
        <f>+Q211+Q232+Q249+Q267+Q277+Q293</f>
        <v>16653974.300000004</v>
      </c>
      <c r="R295" s="127">
        <f>+R211+R232+R249+R267+R277+R293</f>
        <v>5729799.560000004</v>
      </c>
      <c r="S295" s="119"/>
      <c r="T295" s="119"/>
      <c r="U295" s="128">
        <f>+U211+U232+U249+U267+U277+U293</f>
        <v>5008898.6899999995</v>
      </c>
      <c r="V295" s="128">
        <f>+V211+V232+V249+V267</f>
        <v>5938076.200000003</v>
      </c>
      <c r="W295" s="119"/>
      <c r="X295" s="119"/>
      <c r="Y295" s="128">
        <f>+Y211+Y232+Y249+Y267</f>
        <v>5407451.230000008</v>
      </c>
      <c r="AN295" s="297">
        <f>+O208+O229+O246+O264+O274+O281</f>
        <v>38503852.07</v>
      </c>
    </row>
    <row r="296" spans="2:40" ht="15.75" thickTop="1">
      <c r="B296" s="12"/>
      <c r="C296" s="12"/>
      <c r="D296" s="12"/>
      <c r="E296" s="12"/>
      <c r="F296" s="12"/>
      <c r="G296" s="12"/>
      <c r="H296" s="6"/>
      <c r="I296" s="6"/>
      <c r="J296" s="6"/>
      <c r="V296" s="298"/>
      <c r="Y296" s="298"/>
      <c r="AN296" s="432">
        <f>+AN295-'[7]Export3'!$I$31</f>
        <v>30744.189999997616</v>
      </c>
    </row>
    <row r="297" spans="2:25" ht="26.25" hidden="1">
      <c r="B297" s="111" t="s">
        <v>80</v>
      </c>
      <c r="C297" s="111"/>
      <c r="D297" s="111"/>
      <c r="E297" s="111"/>
      <c r="F297" s="111"/>
      <c r="G297" s="111"/>
      <c r="H297" s="111"/>
      <c r="I297" s="111"/>
      <c r="J297" s="111"/>
      <c r="K297" s="112"/>
      <c r="Y297" s="298"/>
    </row>
    <row r="298" spans="2:25" ht="26.25" hidden="1">
      <c r="B298" s="12"/>
      <c r="C298" s="111" t="s">
        <v>81</v>
      </c>
      <c r="D298" s="111"/>
      <c r="E298" s="111"/>
      <c r="F298" s="111"/>
      <c r="G298" s="111"/>
      <c r="H298" s="111"/>
      <c r="I298" s="111"/>
      <c r="J298" s="111"/>
      <c r="K298" s="112"/>
      <c r="Y298" s="298"/>
    </row>
    <row r="299" spans="2:25" ht="26.25" hidden="1">
      <c r="B299" s="12"/>
      <c r="C299" s="111" t="s">
        <v>82</v>
      </c>
      <c r="D299" s="111" t="s">
        <v>83</v>
      </c>
      <c r="E299" s="111"/>
      <c r="F299" s="111"/>
      <c r="G299" s="111"/>
      <c r="H299" s="111"/>
      <c r="I299" s="111"/>
      <c r="J299" s="111"/>
      <c r="K299" s="112"/>
      <c r="Y299" s="298"/>
    </row>
    <row r="300" spans="2:25" ht="26.25" hidden="1">
      <c r="B300" s="12"/>
      <c r="C300" s="111" t="s">
        <v>480</v>
      </c>
      <c r="D300" s="111"/>
      <c r="E300" s="111"/>
      <c r="F300" s="111"/>
      <c r="G300" s="111"/>
      <c r="H300" s="111"/>
      <c r="I300" s="111"/>
      <c r="J300" s="111"/>
      <c r="K300" s="112"/>
      <c r="Y300" s="298"/>
    </row>
    <row r="301" spans="2:25" ht="26.25" hidden="1">
      <c r="B301" s="12"/>
      <c r="C301" s="111"/>
      <c r="D301" s="111"/>
      <c r="E301" s="111" t="s">
        <v>84</v>
      </c>
      <c r="F301" s="111"/>
      <c r="G301" s="111"/>
      <c r="H301" s="111"/>
      <c r="I301" s="111"/>
      <c r="J301" s="111"/>
      <c r="K301" s="112"/>
      <c r="Y301" s="298"/>
    </row>
    <row r="302" spans="2:40" ht="15">
      <c r="B302" s="12"/>
      <c r="C302" s="12"/>
      <c r="D302" s="12"/>
      <c r="E302" s="12"/>
      <c r="F302" s="12"/>
      <c r="G302" s="12"/>
      <c r="H302" s="12"/>
      <c r="I302" s="12"/>
      <c r="J302" s="12"/>
      <c r="V302" s="298"/>
      <c r="Y302" s="298"/>
      <c r="AN302" s="297">
        <f>+O210+O231+O248+O266+O276+O292</f>
        <v>22086104.689999998</v>
      </c>
    </row>
    <row r="303" spans="2:40" ht="20.25">
      <c r="B303" s="186" t="s">
        <v>130</v>
      </c>
      <c r="C303" s="12"/>
      <c r="D303" s="12"/>
      <c r="E303" s="12"/>
      <c r="F303" s="12"/>
      <c r="G303" s="12"/>
      <c r="H303" s="12"/>
      <c r="I303" s="12"/>
      <c r="J303" s="12"/>
      <c r="Y303" s="298"/>
      <c r="AN303" s="433">
        <f>+AN302+'[7]Export3'!$I$114</f>
        <v>0</v>
      </c>
    </row>
    <row r="304" spans="2:25" ht="15.75">
      <c r="B304" s="63" t="s">
        <v>119</v>
      </c>
      <c r="C304" s="12"/>
      <c r="D304" s="12"/>
      <c r="E304" s="12"/>
      <c r="F304" s="12"/>
      <c r="G304" s="12"/>
      <c r="H304" s="12"/>
      <c r="I304" s="12"/>
      <c r="J304" s="12"/>
      <c r="Y304" s="298"/>
    </row>
    <row r="305" spans="2:25" ht="15.75">
      <c r="B305" s="63" t="s">
        <v>903</v>
      </c>
      <c r="C305" s="12"/>
      <c r="D305" s="12"/>
      <c r="E305" s="12"/>
      <c r="F305" s="12"/>
      <c r="G305" s="12"/>
      <c r="H305" s="12"/>
      <c r="I305" s="12"/>
      <c r="J305" s="12"/>
      <c r="Y305" s="298"/>
    </row>
    <row r="306" spans="2:25" ht="15.75">
      <c r="B306" s="63"/>
      <c r="C306" s="12"/>
      <c r="D306" s="12"/>
      <c r="E306" s="12"/>
      <c r="F306" s="12"/>
      <c r="G306" s="12"/>
      <c r="H306" s="12"/>
      <c r="I306" s="12"/>
      <c r="J306" s="12"/>
      <c r="O306" s="614" t="s">
        <v>660</v>
      </c>
      <c r="P306" s="614"/>
      <c r="Q306" s="614"/>
      <c r="R306" s="225"/>
      <c r="Y306" s="298"/>
    </row>
    <row r="307" spans="2:25" ht="18.75">
      <c r="B307" s="113" t="s">
        <v>131</v>
      </c>
      <c r="C307" s="63"/>
      <c r="D307" s="63"/>
      <c r="E307" s="63"/>
      <c r="F307" s="63"/>
      <c r="G307" s="63"/>
      <c r="H307" s="63"/>
      <c r="I307" s="63"/>
      <c r="J307" s="63"/>
      <c r="K307" s="116"/>
      <c r="L307" s="116"/>
      <c r="M307" s="116"/>
      <c r="N307" s="116"/>
      <c r="O307" s="114">
        <v>2022</v>
      </c>
      <c r="P307" s="114">
        <v>2021</v>
      </c>
      <c r="Q307" s="114">
        <v>2020</v>
      </c>
      <c r="R307" s="114">
        <v>2019</v>
      </c>
      <c r="S307" s="119"/>
      <c r="T307" s="119"/>
      <c r="U307" s="289">
        <v>2018</v>
      </c>
      <c r="V307" s="307">
        <v>2017</v>
      </c>
      <c r="W307" s="312"/>
      <c r="X307" s="312"/>
      <c r="Y307" s="307">
        <v>2016</v>
      </c>
    </row>
    <row r="308" spans="2:25" ht="15.75">
      <c r="B308" s="63" t="s">
        <v>132</v>
      </c>
      <c r="C308" s="63"/>
      <c r="D308" s="63"/>
      <c r="E308" s="63"/>
      <c r="F308" s="63"/>
      <c r="G308" s="63"/>
      <c r="H308" s="64">
        <v>12847616.98</v>
      </c>
      <c r="I308" s="64"/>
      <c r="J308" s="64"/>
      <c r="K308" s="116"/>
      <c r="L308" s="116"/>
      <c r="M308" s="116"/>
      <c r="N308" s="116"/>
      <c r="O308" s="70">
        <v>10071102.46</v>
      </c>
      <c r="P308" s="70">
        <v>7024691.27</v>
      </c>
      <c r="Q308" s="70">
        <v>4852929.33</v>
      </c>
      <c r="R308" s="70">
        <v>20267575.18</v>
      </c>
      <c r="S308" s="119"/>
      <c r="T308" s="119"/>
      <c r="U308" s="118">
        <v>17132862.77</v>
      </c>
      <c r="V308" s="118">
        <v>16753845.95</v>
      </c>
      <c r="W308" s="119"/>
      <c r="X308" s="119"/>
      <c r="Y308" s="118">
        <v>13542422.96</v>
      </c>
    </row>
    <row r="309" spans="2:25" ht="15.75">
      <c r="B309" s="63" t="s">
        <v>46</v>
      </c>
      <c r="C309" s="63"/>
      <c r="D309" s="63"/>
      <c r="E309" s="63"/>
      <c r="F309" s="63"/>
      <c r="G309" s="63"/>
      <c r="H309" s="64">
        <v>1799700.13</v>
      </c>
      <c r="I309" s="64"/>
      <c r="J309" s="64"/>
      <c r="K309" s="116"/>
      <c r="L309" s="116"/>
      <c r="M309" s="116"/>
      <c r="N309" s="116"/>
      <c r="O309" s="70">
        <v>1684580.54</v>
      </c>
      <c r="P309" s="70">
        <v>1360333.32</v>
      </c>
      <c r="Q309" s="70">
        <v>1360333.32</v>
      </c>
      <c r="R309" s="70">
        <v>2370523.44</v>
      </c>
      <c r="S309" s="119"/>
      <c r="T309" s="119"/>
      <c r="U309" s="118">
        <v>2203218.88</v>
      </c>
      <c r="V309" s="118">
        <v>2188218.88</v>
      </c>
      <c r="W309" s="119"/>
      <c r="X309" s="119"/>
      <c r="Y309" s="118">
        <v>1809900.13</v>
      </c>
    </row>
    <row r="310" spans="2:25" ht="15.75">
      <c r="B310" s="63" t="s">
        <v>133</v>
      </c>
      <c r="C310" s="63"/>
      <c r="D310" s="63"/>
      <c r="E310" s="63"/>
      <c r="F310" s="63"/>
      <c r="G310" s="63"/>
      <c r="H310" s="64">
        <v>846885.18</v>
      </c>
      <c r="I310" s="64"/>
      <c r="J310" s="64"/>
      <c r="K310" s="116"/>
      <c r="L310" s="116"/>
      <c r="M310" s="116"/>
      <c r="N310" s="116"/>
      <c r="O310" s="70">
        <v>362759.07</v>
      </c>
      <c r="P310" s="70">
        <v>249629.07</v>
      </c>
      <c r="Q310" s="70">
        <v>249629.07</v>
      </c>
      <c r="R310" s="70">
        <v>1217457.52</v>
      </c>
      <c r="S310" s="119"/>
      <c r="T310" s="119"/>
      <c r="U310" s="118">
        <v>1217457.52</v>
      </c>
      <c r="V310" s="118">
        <v>846885.18</v>
      </c>
      <c r="W310" s="119"/>
      <c r="X310" s="119"/>
      <c r="Y310" s="118">
        <v>846885.18</v>
      </c>
    </row>
    <row r="311" spans="2:25" ht="15.75">
      <c r="B311" s="63" t="s">
        <v>48</v>
      </c>
      <c r="C311" s="63"/>
      <c r="D311" s="63"/>
      <c r="E311" s="63"/>
      <c r="F311" s="63"/>
      <c r="G311" s="63"/>
      <c r="H311" s="64">
        <v>2606056.52</v>
      </c>
      <c r="I311" s="64"/>
      <c r="J311" s="64"/>
      <c r="K311" s="116"/>
      <c r="L311" s="116"/>
      <c r="M311" s="116"/>
      <c r="N311" s="116"/>
      <c r="O311" s="70">
        <v>282527.28</v>
      </c>
      <c r="P311" s="70">
        <v>282527.28</v>
      </c>
      <c r="Q311" s="70">
        <v>282527.28</v>
      </c>
      <c r="R311" s="70">
        <v>2617007.23</v>
      </c>
      <c r="S311" s="119"/>
      <c r="T311" s="119"/>
      <c r="U311" s="118">
        <v>2617007.23</v>
      </c>
      <c r="V311" s="118">
        <v>2617007.23</v>
      </c>
      <c r="W311" s="119"/>
      <c r="X311" s="119"/>
      <c r="Y311" s="118">
        <v>2606056.52</v>
      </c>
    </row>
    <row r="312" spans="2:25" ht="16.5" thickBot="1">
      <c r="B312" s="63" t="s">
        <v>134</v>
      </c>
      <c r="C312" s="63"/>
      <c r="D312" s="63"/>
      <c r="E312" s="63"/>
      <c r="F312" s="63"/>
      <c r="G312" s="63"/>
      <c r="H312" s="66">
        <v>6512175.12</v>
      </c>
      <c r="I312" s="65"/>
      <c r="J312" s="65"/>
      <c r="K312" s="116"/>
      <c r="L312" s="116"/>
      <c r="M312" s="116"/>
      <c r="N312" s="116"/>
      <c r="O312" s="71">
        <v>285495.49</v>
      </c>
      <c r="P312" s="71">
        <v>285495.49</v>
      </c>
      <c r="Q312" s="71">
        <f>292495.49</f>
        <v>292495.49</v>
      </c>
      <c r="R312" s="71">
        <v>8505490.76</v>
      </c>
      <c r="S312" s="119"/>
      <c r="T312" s="119"/>
      <c r="U312" s="296">
        <v>7759928.19</v>
      </c>
      <c r="V312" s="296">
        <v>7695478.54</v>
      </c>
      <c r="W312" s="119"/>
      <c r="X312" s="119"/>
      <c r="Y312" s="296">
        <v>7690978.67</v>
      </c>
    </row>
    <row r="313" spans="2:39" ht="16.5">
      <c r="B313" s="63"/>
      <c r="C313" s="63"/>
      <c r="D313" s="63"/>
      <c r="E313" s="63"/>
      <c r="F313" s="63"/>
      <c r="G313" s="63"/>
      <c r="H313" s="72">
        <f>SUM(H308:H312)</f>
        <v>24612433.93</v>
      </c>
      <c r="I313" s="72"/>
      <c r="J313" s="72"/>
      <c r="K313" s="116"/>
      <c r="L313" s="116"/>
      <c r="M313" s="116"/>
      <c r="N313" s="116"/>
      <c r="O313" s="127">
        <f>SUM(O308:O312)</f>
        <v>12686464.84</v>
      </c>
      <c r="P313" s="127">
        <f>SUM(P308:P312)</f>
        <v>9202676.43</v>
      </c>
      <c r="Q313" s="127">
        <f>SUM(Q308:Q312)</f>
        <v>7037914.490000001</v>
      </c>
      <c r="R313" s="127">
        <f>SUM(R308:R312)</f>
        <v>34978054.13</v>
      </c>
      <c r="S313" s="119"/>
      <c r="T313" s="119"/>
      <c r="U313" s="128">
        <f>SUM(U308:U312)</f>
        <v>30930474.59</v>
      </c>
      <c r="V313" s="128">
        <f>SUM(V308:V312)</f>
        <v>30101435.779999997</v>
      </c>
      <c r="W313" s="119"/>
      <c r="X313" s="119"/>
      <c r="Y313" s="128">
        <f>SUM(Y308:Y312)</f>
        <v>26496243.46</v>
      </c>
      <c r="AM313" s="508">
        <f>+O313-P313</f>
        <v>3483788.41</v>
      </c>
    </row>
    <row r="314" spans="2:25" ht="15.75">
      <c r="B314" s="63" t="s">
        <v>26</v>
      </c>
      <c r="C314" s="63"/>
      <c r="D314" s="63"/>
      <c r="E314" s="63"/>
      <c r="F314" s="63"/>
      <c r="G314" s="63"/>
      <c r="H314" s="64"/>
      <c r="I314" s="64"/>
      <c r="J314" s="64"/>
      <c r="K314" s="116"/>
      <c r="L314" s="116"/>
      <c r="M314" s="116"/>
      <c r="N314" s="116"/>
      <c r="O314" s="132"/>
      <c r="P314" s="132"/>
      <c r="Q314" s="116"/>
      <c r="R314" s="116"/>
      <c r="S314" s="119"/>
      <c r="T314" s="119"/>
      <c r="U314" s="119"/>
      <c r="V314" s="118"/>
      <c r="W314" s="119"/>
      <c r="X314" s="119"/>
      <c r="Y314" s="118"/>
    </row>
    <row r="315" spans="2:27" ht="17.25" thickBot="1">
      <c r="B315" s="63" t="s">
        <v>123</v>
      </c>
      <c r="C315" s="63"/>
      <c r="D315" s="63"/>
      <c r="E315" s="63"/>
      <c r="F315" s="63"/>
      <c r="G315" s="63"/>
      <c r="H315" s="66">
        <v>20697337.42</v>
      </c>
      <c r="I315" s="76"/>
      <c r="J315" s="76"/>
      <c r="K315" s="120"/>
      <c r="L315" s="120"/>
      <c r="M315" s="120"/>
      <c r="N315" s="120"/>
      <c r="O315" s="89">
        <f>+'Depreciación Acumulada'!E104</f>
        <v>8373011.850000001</v>
      </c>
      <c r="P315" s="89">
        <f>+'Depreciación Acumulada'!F104</f>
        <v>6315037.37</v>
      </c>
      <c r="Q315" s="89">
        <f>+'Depreciación Acumulada'!G104</f>
        <v>4094509.0799999996</v>
      </c>
      <c r="R315" s="89">
        <f>+'Depreciación Acumulada'!H104</f>
        <v>28333352.93</v>
      </c>
      <c r="S315" s="290"/>
      <c r="T315" s="290"/>
      <c r="U315" s="296">
        <v>26498262.51</v>
      </c>
      <c r="V315" s="296">
        <v>24663172.09</v>
      </c>
      <c r="W315" s="290"/>
      <c r="X315" s="290"/>
      <c r="Y315" s="296">
        <v>22531177.71</v>
      </c>
      <c r="Z315" s="297"/>
      <c r="AA315" s="297"/>
    </row>
    <row r="316" spans="2:25" ht="18.75">
      <c r="B316" s="113" t="s">
        <v>124</v>
      </c>
      <c r="C316" s="63"/>
      <c r="D316" s="63"/>
      <c r="E316" s="63"/>
      <c r="F316" s="63"/>
      <c r="G316" s="63"/>
      <c r="H316" s="72">
        <f>+H313-H315</f>
        <v>3915096.509999998</v>
      </c>
      <c r="I316" s="72"/>
      <c r="J316" s="72"/>
      <c r="K316" s="116"/>
      <c r="L316" s="116"/>
      <c r="M316" s="116"/>
      <c r="N316" s="116"/>
      <c r="O316" s="127">
        <f>+O313-O315</f>
        <v>4313452.989999999</v>
      </c>
      <c r="P316" s="127">
        <f>+P313-P315</f>
        <v>2887639.0599999996</v>
      </c>
      <c r="Q316" s="127">
        <f>+Q313-Q315</f>
        <v>2943405.4100000015</v>
      </c>
      <c r="R316" s="127">
        <f>+R313-R315</f>
        <v>6644701.200000003</v>
      </c>
      <c r="S316" s="119"/>
      <c r="T316" s="119"/>
      <c r="U316" s="128">
        <f>+U313-U315</f>
        <v>4432212.079999998</v>
      </c>
      <c r="V316" s="128">
        <f>+V313-V315</f>
        <v>5438263.689999998</v>
      </c>
      <c r="W316" s="119"/>
      <c r="X316" s="119"/>
      <c r="Y316" s="128">
        <f>+Y313-Y315</f>
        <v>3965065.75</v>
      </c>
    </row>
    <row r="317" spans="2:25" ht="15">
      <c r="B317" s="12"/>
      <c r="C317" s="12"/>
      <c r="D317" s="12"/>
      <c r="E317" s="12"/>
      <c r="F317" s="12"/>
      <c r="G317" s="12"/>
      <c r="H317" s="6"/>
      <c r="I317" s="6"/>
      <c r="J317" s="6"/>
      <c r="V317" s="298"/>
      <c r="Y317" s="298"/>
    </row>
    <row r="318" spans="2:25" ht="15">
      <c r="B318" s="12"/>
      <c r="C318" s="12"/>
      <c r="D318" s="12"/>
      <c r="E318" s="12"/>
      <c r="F318" s="12"/>
      <c r="G318" s="12"/>
      <c r="H318" s="6"/>
      <c r="I318" s="6"/>
      <c r="J318" s="6"/>
      <c r="V318" s="298"/>
      <c r="Y318" s="298"/>
    </row>
    <row r="319" spans="2:25" ht="15">
      <c r="B319" s="12"/>
      <c r="C319" s="12"/>
      <c r="D319" s="12"/>
      <c r="E319" s="12"/>
      <c r="F319" s="12"/>
      <c r="G319" s="12"/>
      <c r="H319" s="6"/>
      <c r="I319" s="6"/>
      <c r="J319" s="6"/>
      <c r="V319" s="298"/>
      <c r="Y319" s="298"/>
    </row>
    <row r="320" spans="2:25" ht="15">
      <c r="B320" s="12"/>
      <c r="C320" s="12"/>
      <c r="D320" s="12"/>
      <c r="E320" s="12"/>
      <c r="F320" s="12"/>
      <c r="G320" s="12"/>
      <c r="H320" s="6"/>
      <c r="I320" s="6"/>
      <c r="J320" s="6"/>
      <c r="O320" s="614" t="s">
        <v>660</v>
      </c>
      <c r="P320" s="614"/>
      <c r="Q320" s="614"/>
      <c r="R320" s="225"/>
      <c r="V320" s="298"/>
      <c r="Y320" s="298"/>
    </row>
    <row r="321" spans="2:25" ht="18.75">
      <c r="B321" s="113" t="s">
        <v>135</v>
      </c>
      <c r="C321" s="12"/>
      <c r="D321" s="12"/>
      <c r="E321" s="12"/>
      <c r="F321" s="12"/>
      <c r="G321" s="12"/>
      <c r="H321" s="6"/>
      <c r="I321" s="6"/>
      <c r="J321" s="6"/>
      <c r="O321" s="114">
        <v>2022</v>
      </c>
      <c r="P321" s="114">
        <v>2021</v>
      </c>
      <c r="Q321" s="114">
        <v>2020</v>
      </c>
      <c r="R321" s="114">
        <v>2019</v>
      </c>
      <c r="U321" s="289">
        <v>2018</v>
      </c>
      <c r="V321" s="307">
        <v>2017</v>
      </c>
      <c r="W321" s="312"/>
      <c r="X321" s="312"/>
      <c r="Y321" s="307">
        <v>2016</v>
      </c>
    </row>
    <row r="322" spans="2:25" ht="15.75">
      <c r="B322" s="63" t="s">
        <v>132</v>
      </c>
      <c r="C322" s="63"/>
      <c r="D322" s="63"/>
      <c r="E322" s="63"/>
      <c r="F322" s="63"/>
      <c r="G322" s="63"/>
      <c r="H322" s="64">
        <v>777749.82</v>
      </c>
      <c r="I322" s="64"/>
      <c r="J322" s="64"/>
      <c r="K322" s="116"/>
      <c r="L322" s="116"/>
      <c r="M322" s="116"/>
      <c r="N322" s="116"/>
      <c r="O322" s="70">
        <v>829948.57</v>
      </c>
      <c r="P322" s="70">
        <v>1446596</v>
      </c>
      <c r="Q322" s="70">
        <v>649946.59</v>
      </c>
      <c r="R322" s="70">
        <v>1172230.26</v>
      </c>
      <c r="S322" s="119"/>
      <c r="T322" s="119"/>
      <c r="U322" s="118">
        <v>1075244.3</v>
      </c>
      <c r="V322" s="118">
        <v>1040814.3</v>
      </c>
      <c r="W322" s="119"/>
      <c r="X322" s="119"/>
      <c r="Y322" s="118">
        <v>1040814.3</v>
      </c>
    </row>
    <row r="323" spans="2:25" ht="15.75">
      <c r="B323" s="63" t="s">
        <v>46</v>
      </c>
      <c r="C323" s="63"/>
      <c r="D323" s="63"/>
      <c r="E323" s="63"/>
      <c r="F323" s="63"/>
      <c r="G323" s="63"/>
      <c r="H323" s="64">
        <v>237007.6</v>
      </c>
      <c r="I323" s="64"/>
      <c r="J323" s="64"/>
      <c r="K323" s="116"/>
      <c r="L323" s="116"/>
      <c r="M323" s="116"/>
      <c r="N323" s="116"/>
      <c r="O323" s="70">
        <v>45379</v>
      </c>
      <c r="P323" s="70">
        <v>45379</v>
      </c>
      <c r="Q323" s="70">
        <v>45379</v>
      </c>
      <c r="R323" s="70">
        <v>290824.15</v>
      </c>
      <c r="S323" s="119"/>
      <c r="T323" s="119"/>
      <c r="U323" s="118">
        <v>290824.15</v>
      </c>
      <c r="V323" s="118">
        <v>290824.15</v>
      </c>
      <c r="W323" s="119"/>
      <c r="X323" s="119"/>
      <c r="Y323" s="118">
        <v>237007.6</v>
      </c>
    </row>
    <row r="324" spans="2:25" ht="15.75">
      <c r="B324" s="63" t="s">
        <v>47</v>
      </c>
      <c r="C324" s="63"/>
      <c r="D324" s="63"/>
      <c r="E324" s="63"/>
      <c r="F324" s="63"/>
      <c r="G324" s="63"/>
      <c r="H324" s="64"/>
      <c r="I324" s="64"/>
      <c r="J324" s="64"/>
      <c r="K324" s="116"/>
      <c r="L324" s="116"/>
      <c r="M324" s="116"/>
      <c r="N324" s="116"/>
      <c r="O324" s="70">
        <v>130490.61</v>
      </c>
      <c r="P324" s="70">
        <v>130490.61</v>
      </c>
      <c r="Q324" s="70">
        <v>0</v>
      </c>
      <c r="R324" s="70">
        <v>130490.61</v>
      </c>
      <c r="S324" s="119"/>
      <c r="T324" s="119"/>
      <c r="U324" s="118">
        <v>130490.61</v>
      </c>
      <c r="V324" s="118"/>
      <c r="W324" s="119"/>
      <c r="X324" s="119"/>
      <c r="Y324" s="118"/>
    </row>
    <row r="325" spans="2:25" ht="15.75">
      <c r="B325" s="63" t="s">
        <v>48</v>
      </c>
      <c r="C325" s="63"/>
      <c r="D325" s="63"/>
      <c r="E325" s="63"/>
      <c r="F325" s="63"/>
      <c r="G325" s="63"/>
      <c r="H325" s="65">
        <f>76900-0.02</f>
        <v>76899.98</v>
      </c>
      <c r="I325" s="65"/>
      <c r="J325" s="65"/>
      <c r="K325" s="116"/>
      <c r="L325" s="116"/>
      <c r="M325" s="116"/>
      <c r="N325" s="116"/>
      <c r="O325" s="70">
        <v>92362.03</v>
      </c>
      <c r="P325" s="70">
        <v>92362.03</v>
      </c>
      <c r="Q325" s="70">
        <v>92362.03</v>
      </c>
      <c r="R325" s="70">
        <v>76900</v>
      </c>
      <c r="S325" s="119"/>
      <c r="T325" s="119"/>
      <c r="U325" s="118">
        <v>76900</v>
      </c>
      <c r="V325" s="118">
        <f>76900-0.02</f>
        <v>76899.98</v>
      </c>
      <c r="W325" s="119"/>
      <c r="X325" s="119"/>
      <c r="Y325" s="118">
        <f>76900-0.02</f>
        <v>76899.98</v>
      </c>
    </row>
    <row r="326" spans="2:25" ht="16.5" thickBot="1">
      <c r="B326" s="63" t="s">
        <v>255</v>
      </c>
      <c r="C326" s="63"/>
      <c r="D326" s="63"/>
      <c r="E326" s="63"/>
      <c r="F326" s="63"/>
      <c r="G326" s="63"/>
      <c r="H326" s="66">
        <v>203552.51</v>
      </c>
      <c r="I326" s="65"/>
      <c r="J326" s="65"/>
      <c r="K326" s="116"/>
      <c r="L326" s="116"/>
      <c r="M326" s="116"/>
      <c r="N326" s="116"/>
      <c r="O326" s="71"/>
      <c r="P326" s="71">
        <v>0</v>
      </c>
      <c r="Q326" s="71">
        <v>0</v>
      </c>
      <c r="R326" s="71">
        <v>203552.51</v>
      </c>
      <c r="S326" s="119"/>
      <c r="T326" s="119"/>
      <c r="U326" s="296">
        <v>203552.51</v>
      </c>
      <c r="V326" s="296">
        <v>203552.51</v>
      </c>
      <c r="W326" s="119"/>
      <c r="X326" s="119"/>
      <c r="Y326" s="296">
        <v>203552.51</v>
      </c>
    </row>
    <row r="327" spans="2:39" ht="16.5">
      <c r="B327" s="63"/>
      <c r="C327" s="63"/>
      <c r="D327" s="63"/>
      <c r="E327" s="63"/>
      <c r="F327" s="63"/>
      <c r="G327" s="63"/>
      <c r="H327" s="72">
        <f>SUM(H322:H326)</f>
        <v>1295209.91</v>
      </c>
      <c r="I327" s="72"/>
      <c r="J327" s="72"/>
      <c r="K327" s="116"/>
      <c r="L327" s="116"/>
      <c r="M327" s="116"/>
      <c r="N327" s="116"/>
      <c r="O327" s="127">
        <f>SUM(O322:O326)</f>
        <v>1098180.21</v>
      </c>
      <c r="P327" s="127">
        <f>SUM(P322:P326)</f>
        <v>1714827.6400000001</v>
      </c>
      <c r="Q327" s="127">
        <f>SUM(Q322:Q326)</f>
        <v>787687.62</v>
      </c>
      <c r="R327" s="127">
        <f>SUM(R322:R326)</f>
        <v>1873997.5300000003</v>
      </c>
      <c r="S327" s="119"/>
      <c r="T327" s="119"/>
      <c r="U327" s="128">
        <f>SUM(U322:U326)</f>
        <v>1777011.5700000003</v>
      </c>
      <c r="V327" s="128">
        <f>SUM(V322:V326)</f>
        <v>1612090.9400000002</v>
      </c>
      <c r="W327" s="119"/>
      <c r="X327" s="119"/>
      <c r="Y327" s="128">
        <f>SUM(Y322:Y326)</f>
        <v>1558274.3900000001</v>
      </c>
      <c r="AM327" s="508">
        <f>+O327-P327</f>
        <v>-616647.4300000002</v>
      </c>
    </row>
    <row r="328" spans="2:25" ht="15.75">
      <c r="B328" s="63" t="s">
        <v>26</v>
      </c>
      <c r="C328" s="63"/>
      <c r="D328" s="63"/>
      <c r="E328" s="63"/>
      <c r="F328" s="63"/>
      <c r="G328" s="63"/>
      <c r="H328" s="64"/>
      <c r="I328" s="64"/>
      <c r="J328" s="64"/>
      <c r="K328" s="116"/>
      <c r="L328" s="116"/>
      <c r="M328" s="116"/>
      <c r="N328" s="116"/>
      <c r="O328" s="132"/>
      <c r="P328" s="132"/>
      <c r="Q328" s="116"/>
      <c r="R328" s="116"/>
      <c r="S328" s="119"/>
      <c r="T328" s="119"/>
      <c r="U328" s="119"/>
      <c r="V328" s="118"/>
      <c r="W328" s="119"/>
      <c r="X328" s="119"/>
      <c r="Y328" s="118"/>
    </row>
    <row r="329" spans="2:25" ht="17.25" thickBot="1">
      <c r="B329" s="63" t="s">
        <v>123</v>
      </c>
      <c r="C329" s="63"/>
      <c r="D329" s="63"/>
      <c r="E329" s="63"/>
      <c r="F329" s="63"/>
      <c r="G329" s="63"/>
      <c r="H329" s="66">
        <v>1209550.38</v>
      </c>
      <c r="I329" s="76"/>
      <c r="J329" s="76"/>
      <c r="K329" s="120"/>
      <c r="L329" s="120"/>
      <c r="M329" s="120"/>
      <c r="N329" s="120"/>
      <c r="O329" s="89">
        <f>+'Depreciación Acumulada'!E126</f>
        <v>1040718.52</v>
      </c>
      <c r="P329" s="89">
        <f>+'Depreciación Acumulada'!F126</f>
        <v>942124.8400000001</v>
      </c>
      <c r="Q329" s="89">
        <f>+'Depreciación Acumulada'!G126</f>
        <v>765479.5</v>
      </c>
      <c r="R329" s="89">
        <f>+'Depreciación Acumulada'!H126</f>
        <v>1619664.07</v>
      </c>
      <c r="S329" s="290"/>
      <c r="T329" s="290"/>
      <c r="U329" s="296">
        <v>1517655.42</v>
      </c>
      <c r="V329" s="296">
        <v>1415646.77</v>
      </c>
      <c r="W329" s="290"/>
      <c r="X329" s="290"/>
      <c r="Y329" s="296">
        <v>1301941.34</v>
      </c>
    </row>
    <row r="330" spans="2:25" ht="18.75">
      <c r="B330" s="113" t="s">
        <v>124</v>
      </c>
      <c r="C330" s="63"/>
      <c r="D330" s="63"/>
      <c r="E330" s="63"/>
      <c r="F330" s="63"/>
      <c r="G330" s="63"/>
      <c r="H330" s="75">
        <f>+H327-H329</f>
        <v>85659.53000000003</v>
      </c>
      <c r="I330" s="75"/>
      <c r="J330" s="75"/>
      <c r="K330" s="120"/>
      <c r="L330" s="120"/>
      <c r="M330" s="120"/>
      <c r="N330" s="120"/>
      <c r="O330" s="127">
        <f>+O327-O329</f>
        <v>57461.689999999944</v>
      </c>
      <c r="P330" s="127">
        <f>+P327-P329</f>
        <v>772702.8</v>
      </c>
      <c r="Q330" s="127">
        <f>+Q327-Q329</f>
        <v>22208.119999999995</v>
      </c>
      <c r="R330" s="127">
        <f>+R327-R329</f>
        <v>254333.4600000002</v>
      </c>
      <c r="S330" s="290"/>
      <c r="T330" s="290"/>
      <c r="U330" s="128">
        <f>+U327-U329</f>
        <v>259356.15000000037</v>
      </c>
      <c r="V330" s="128">
        <f>+V327-V329</f>
        <v>196444.17000000016</v>
      </c>
      <c r="W330" s="290"/>
      <c r="X330" s="290"/>
      <c r="Y330" s="128">
        <f>+Y327-Y329</f>
        <v>256333.05000000005</v>
      </c>
    </row>
    <row r="331" spans="2:25" ht="15">
      <c r="B331" s="12"/>
      <c r="C331" s="12"/>
      <c r="D331" s="12"/>
      <c r="E331" s="12"/>
      <c r="F331" s="12"/>
      <c r="G331" s="12"/>
      <c r="H331" s="12"/>
      <c r="I331" s="12"/>
      <c r="J331" s="12"/>
      <c r="V331" s="298"/>
      <c r="Y331" s="298"/>
    </row>
    <row r="332" spans="2:25" ht="15">
      <c r="B332" s="12"/>
      <c r="C332" s="12"/>
      <c r="D332" s="12"/>
      <c r="E332" s="12"/>
      <c r="F332" s="12"/>
      <c r="G332" s="12"/>
      <c r="H332" s="12"/>
      <c r="I332" s="12"/>
      <c r="J332" s="12"/>
      <c r="O332" s="614" t="s">
        <v>660</v>
      </c>
      <c r="P332" s="614"/>
      <c r="Q332" s="614"/>
      <c r="R332" s="225"/>
      <c r="V332" s="298"/>
      <c r="Y332" s="298"/>
    </row>
    <row r="333" spans="2:25" ht="18.75">
      <c r="B333" s="113" t="s">
        <v>136</v>
      </c>
      <c r="C333" s="12"/>
      <c r="D333" s="12"/>
      <c r="E333" s="12"/>
      <c r="F333" s="12"/>
      <c r="G333" s="12"/>
      <c r="H333" s="12"/>
      <c r="I333" s="12"/>
      <c r="J333" s="12"/>
      <c r="O333" s="114">
        <v>2022</v>
      </c>
      <c r="P333" s="114">
        <v>2021</v>
      </c>
      <c r="Q333" s="114">
        <v>2020</v>
      </c>
      <c r="R333" s="114">
        <v>2019</v>
      </c>
      <c r="U333" s="289">
        <v>2018</v>
      </c>
      <c r="V333" s="307">
        <v>2017</v>
      </c>
      <c r="Y333" s="298"/>
    </row>
    <row r="334" spans="2:25" ht="15.75">
      <c r="B334" s="63" t="s">
        <v>132</v>
      </c>
      <c r="C334" s="63"/>
      <c r="D334" s="63"/>
      <c r="E334" s="63"/>
      <c r="F334" s="63"/>
      <c r="G334" s="63"/>
      <c r="H334" s="64">
        <v>883894.77</v>
      </c>
      <c r="I334" s="64"/>
      <c r="J334" s="64"/>
      <c r="K334" s="116"/>
      <c r="L334" s="116"/>
      <c r="M334" s="116"/>
      <c r="N334" s="116"/>
      <c r="O334" s="70">
        <v>921328.53</v>
      </c>
      <c r="P334" s="70">
        <v>802168.55</v>
      </c>
      <c r="Q334" s="70">
        <v>641095.57</v>
      </c>
      <c r="R334" s="70">
        <v>1303957.64</v>
      </c>
      <c r="S334" s="119"/>
      <c r="T334" s="119"/>
      <c r="U334" s="118">
        <v>1215985.63</v>
      </c>
      <c r="V334" s="118">
        <v>1111139.17</v>
      </c>
      <c r="W334" s="119"/>
      <c r="X334" s="119"/>
      <c r="Y334" s="118">
        <v>1034462.77</v>
      </c>
    </row>
    <row r="335" spans="2:25" ht="15.75">
      <c r="B335" s="63" t="s">
        <v>46</v>
      </c>
      <c r="C335" s="63"/>
      <c r="D335" s="63"/>
      <c r="E335" s="63"/>
      <c r="F335" s="63"/>
      <c r="G335" s="63"/>
      <c r="H335" s="64">
        <v>215969.4</v>
      </c>
      <c r="I335" s="64"/>
      <c r="J335" s="64"/>
      <c r="K335" s="116"/>
      <c r="L335" s="116"/>
      <c r="M335" s="116"/>
      <c r="N335" s="116"/>
      <c r="O335" s="70">
        <v>164968.4</v>
      </c>
      <c r="P335" s="70">
        <v>157770.4</v>
      </c>
      <c r="Q335" s="70">
        <v>157770.4</v>
      </c>
      <c r="R335" s="70">
        <v>267981.4</v>
      </c>
      <c r="S335" s="119"/>
      <c r="T335" s="119"/>
      <c r="U335" s="118">
        <v>254244.4</v>
      </c>
      <c r="V335" s="118">
        <v>243714.4</v>
      </c>
      <c r="W335" s="119"/>
      <c r="X335" s="119"/>
      <c r="Y335" s="118">
        <v>215969.4</v>
      </c>
    </row>
    <row r="336" spans="2:25" ht="15.75">
      <c r="B336" s="63" t="s">
        <v>133</v>
      </c>
      <c r="C336" s="63"/>
      <c r="D336" s="63"/>
      <c r="E336" s="63"/>
      <c r="F336" s="63"/>
      <c r="G336" s="63"/>
      <c r="H336" s="64">
        <v>1500</v>
      </c>
      <c r="I336" s="64"/>
      <c r="J336" s="64"/>
      <c r="K336" s="116"/>
      <c r="L336" s="116"/>
      <c r="M336" s="116"/>
      <c r="N336" s="116"/>
      <c r="O336" s="70">
        <v>880210.66</v>
      </c>
      <c r="P336" s="70">
        <v>880210.66</v>
      </c>
      <c r="Q336" s="70">
        <v>880210.66</v>
      </c>
      <c r="R336" s="70">
        <v>198281.94</v>
      </c>
      <c r="S336" s="119"/>
      <c r="T336" s="119"/>
      <c r="U336" s="118">
        <v>140625.62</v>
      </c>
      <c r="V336" s="118">
        <v>82075.62</v>
      </c>
      <c r="W336" s="119"/>
      <c r="X336" s="119"/>
      <c r="Y336" s="118">
        <v>1500</v>
      </c>
    </row>
    <row r="337" spans="2:25" ht="15.75">
      <c r="B337" s="63" t="s">
        <v>48</v>
      </c>
      <c r="C337" s="63"/>
      <c r="D337" s="63"/>
      <c r="E337" s="63"/>
      <c r="F337" s="63"/>
      <c r="G337" s="63"/>
      <c r="H337" s="64">
        <v>153768.8</v>
      </c>
      <c r="I337" s="64"/>
      <c r="J337" s="64"/>
      <c r="K337" s="116"/>
      <c r="L337" s="116"/>
      <c r="M337" s="116"/>
      <c r="N337" s="116"/>
      <c r="O337" s="70">
        <v>191442.25</v>
      </c>
      <c r="P337" s="70">
        <v>191442.25</v>
      </c>
      <c r="Q337" s="70">
        <v>191442.25</v>
      </c>
      <c r="R337" s="70">
        <v>153768.8</v>
      </c>
      <c r="S337" s="119"/>
      <c r="T337" s="119"/>
      <c r="U337" s="118">
        <v>153768.8</v>
      </c>
      <c r="V337" s="118">
        <v>153768.8</v>
      </c>
      <c r="W337" s="119"/>
      <c r="X337" s="119"/>
      <c r="Y337" s="118">
        <v>153768.8</v>
      </c>
    </row>
    <row r="338" spans="2:25" ht="16.5" thickBot="1">
      <c r="B338" s="63" t="s">
        <v>134</v>
      </c>
      <c r="C338" s="63"/>
      <c r="D338" s="63"/>
      <c r="E338" s="63"/>
      <c r="F338" s="63"/>
      <c r="G338" s="63"/>
      <c r="H338" s="66">
        <v>396208.51</v>
      </c>
      <c r="I338" s="65"/>
      <c r="J338" s="65"/>
      <c r="K338" s="116"/>
      <c r="L338" s="116"/>
      <c r="M338" s="116"/>
      <c r="N338" s="116"/>
      <c r="O338" s="71"/>
      <c r="P338" s="71">
        <v>0</v>
      </c>
      <c r="Q338" s="71">
        <v>0</v>
      </c>
      <c r="R338" s="71">
        <v>396208.51</v>
      </c>
      <c r="S338" s="119"/>
      <c r="T338" s="119"/>
      <c r="U338" s="296">
        <v>396208.51</v>
      </c>
      <c r="V338" s="296">
        <v>396208.51</v>
      </c>
      <c r="W338" s="119"/>
      <c r="X338" s="119"/>
      <c r="Y338" s="296">
        <v>396208.51</v>
      </c>
    </row>
    <row r="339" spans="2:39" ht="16.5">
      <c r="B339" s="63"/>
      <c r="C339" s="63"/>
      <c r="D339" s="63"/>
      <c r="E339" s="63"/>
      <c r="F339" s="63"/>
      <c r="G339" s="63"/>
      <c r="H339" s="72">
        <f>SUM(H334:H338)</f>
        <v>1651341.48</v>
      </c>
      <c r="I339" s="72"/>
      <c r="J339" s="72"/>
      <c r="K339" s="116"/>
      <c r="L339" s="116"/>
      <c r="M339" s="116"/>
      <c r="N339" s="116"/>
      <c r="O339" s="127">
        <f>SUM(O334:O338)</f>
        <v>2157949.84</v>
      </c>
      <c r="P339" s="127">
        <f>SUM(P334:P338)</f>
        <v>2031591.86</v>
      </c>
      <c r="Q339" s="127">
        <f>SUM(Q334:Q338)</f>
        <v>1870518.88</v>
      </c>
      <c r="R339" s="127">
        <f>SUM(R334:R338)</f>
        <v>2320198.29</v>
      </c>
      <c r="S339" s="119"/>
      <c r="T339" s="119"/>
      <c r="U339" s="128">
        <f>SUM(U334:U338)</f>
        <v>2160832.96</v>
      </c>
      <c r="V339" s="128">
        <f>SUM(V334:V338)</f>
        <v>1986906.5</v>
      </c>
      <c r="W339" s="119"/>
      <c r="X339" s="119"/>
      <c r="Y339" s="128">
        <f>SUM(Y334:Y338)</f>
        <v>1801909.48</v>
      </c>
      <c r="AM339" s="508">
        <f>+O339-P339</f>
        <v>126357.97999999975</v>
      </c>
    </row>
    <row r="340" spans="2:25" ht="16.5">
      <c r="B340" s="63" t="s">
        <v>26</v>
      </c>
      <c r="C340" s="63"/>
      <c r="D340" s="63"/>
      <c r="E340" s="63"/>
      <c r="F340" s="63"/>
      <c r="G340" s="63"/>
      <c r="H340" s="76"/>
      <c r="I340" s="76"/>
      <c r="J340" s="76"/>
      <c r="K340" s="116"/>
      <c r="L340" s="116"/>
      <c r="M340" s="116"/>
      <c r="N340" s="116"/>
      <c r="O340" s="132"/>
      <c r="P340" s="132"/>
      <c r="Q340" s="116"/>
      <c r="R340" s="116"/>
      <c r="S340" s="119"/>
      <c r="T340" s="119"/>
      <c r="U340" s="119"/>
      <c r="V340" s="118"/>
      <c r="W340" s="119"/>
      <c r="X340" s="119"/>
      <c r="Y340" s="118"/>
    </row>
    <row r="341" spans="2:27" ht="17.25" thickBot="1">
      <c r="B341" s="63" t="s">
        <v>123</v>
      </c>
      <c r="C341" s="63"/>
      <c r="D341" s="63"/>
      <c r="E341" s="63"/>
      <c r="F341" s="63"/>
      <c r="G341" s="63"/>
      <c r="H341" s="66">
        <v>1443171.84</v>
      </c>
      <c r="I341" s="76"/>
      <c r="J341" s="76"/>
      <c r="K341" s="120"/>
      <c r="L341" s="120"/>
      <c r="M341" s="120"/>
      <c r="N341" s="120"/>
      <c r="O341" s="89">
        <f>+'Depreciación Acumulada'!E115</f>
        <v>1809410.37</v>
      </c>
      <c r="P341" s="89">
        <f>+'Depreciación Acumulada'!F115</f>
        <v>1748061.5999999999</v>
      </c>
      <c r="Q341" s="89">
        <f>+'Depreciación Acumulada'!G115</f>
        <v>1668993.77</v>
      </c>
      <c r="R341" s="89">
        <f>+'Depreciación Acumulada'!H115</f>
        <v>1976985.67</v>
      </c>
      <c r="S341" s="290"/>
      <c r="T341" s="290"/>
      <c r="U341" s="296">
        <v>1852181.93</v>
      </c>
      <c r="V341" s="296">
        <v>1727378.19</v>
      </c>
      <c r="W341" s="290"/>
      <c r="X341" s="290"/>
      <c r="Y341" s="296">
        <v>1593692.25</v>
      </c>
      <c r="Z341" s="297"/>
      <c r="AA341" s="297"/>
    </row>
    <row r="342" spans="2:25" ht="16.5">
      <c r="B342" s="75" t="s">
        <v>124</v>
      </c>
      <c r="C342" s="63"/>
      <c r="D342" s="63"/>
      <c r="E342" s="63"/>
      <c r="F342" s="63"/>
      <c r="G342" s="63"/>
      <c r="H342" s="72">
        <f>+H339-H341</f>
        <v>208169.6399999999</v>
      </c>
      <c r="I342" s="72"/>
      <c r="J342" s="72"/>
      <c r="K342" s="116"/>
      <c r="L342" s="116"/>
      <c r="M342" s="116"/>
      <c r="N342" s="116"/>
      <c r="O342" s="127">
        <f>+O339-O341</f>
        <v>348539.46999999974</v>
      </c>
      <c r="P342" s="127">
        <f>+P339-P341</f>
        <v>283530.26000000024</v>
      </c>
      <c r="Q342" s="127">
        <f>+Q339-Q341</f>
        <v>201525.10999999987</v>
      </c>
      <c r="R342" s="127">
        <f>+R339-R341</f>
        <v>343212.6200000001</v>
      </c>
      <c r="S342" s="119"/>
      <c r="T342" s="119"/>
      <c r="U342" s="128">
        <f>+U339-U341</f>
        <v>308651.03</v>
      </c>
      <c r="V342" s="128">
        <f>+V339-V341</f>
        <v>259528.31000000006</v>
      </c>
      <c r="W342" s="119"/>
      <c r="X342" s="119"/>
      <c r="Y342" s="128">
        <f>+Y339-Y341</f>
        <v>208217.22999999998</v>
      </c>
    </row>
    <row r="343" spans="2:25" ht="15">
      <c r="B343" s="12"/>
      <c r="C343" s="12"/>
      <c r="D343" s="12"/>
      <c r="E343" s="12"/>
      <c r="F343" s="12"/>
      <c r="G343" s="12"/>
      <c r="H343" s="6"/>
      <c r="I343" s="6"/>
      <c r="J343" s="6"/>
      <c r="Y343" s="298"/>
    </row>
    <row r="344" spans="2:10" ht="15">
      <c r="B344" s="12"/>
      <c r="C344" s="12"/>
      <c r="D344" s="12"/>
      <c r="E344" s="12"/>
      <c r="F344" s="12"/>
      <c r="G344" s="12"/>
      <c r="H344" s="6"/>
      <c r="I344" s="6"/>
      <c r="J344" s="6"/>
    </row>
    <row r="345" spans="2:25" ht="15">
      <c r="B345" s="12"/>
      <c r="C345" s="12"/>
      <c r="D345" s="12"/>
      <c r="E345" s="12"/>
      <c r="F345" s="12"/>
      <c r="G345" s="12"/>
      <c r="H345" s="6"/>
      <c r="I345" s="6"/>
      <c r="J345" s="6"/>
      <c r="O345" s="614" t="s">
        <v>660</v>
      </c>
      <c r="P345" s="614"/>
      <c r="Q345" s="614"/>
      <c r="R345" s="225"/>
      <c r="Y345" s="298"/>
    </row>
    <row r="346" spans="2:25" ht="18.75">
      <c r="B346" s="113" t="s">
        <v>137</v>
      </c>
      <c r="C346" s="12"/>
      <c r="D346" s="12"/>
      <c r="E346" s="12"/>
      <c r="F346" s="12"/>
      <c r="G346" s="12"/>
      <c r="H346" s="12"/>
      <c r="I346" s="6"/>
      <c r="J346" s="6"/>
      <c r="O346" s="114">
        <v>2022</v>
      </c>
      <c r="P346" s="114">
        <v>2021</v>
      </c>
      <c r="Q346" s="114">
        <v>2020</v>
      </c>
      <c r="R346" s="114">
        <v>2019</v>
      </c>
      <c r="U346" s="289">
        <v>2018</v>
      </c>
      <c r="V346" s="307">
        <v>2017</v>
      </c>
      <c r="W346" s="312"/>
      <c r="X346" s="312"/>
      <c r="Y346" s="307">
        <v>2016</v>
      </c>
    </row>
    <row r="347" spans="2:25" ht="15.75">
      <c r="B347" s="63" t="s">
        <v>132</v>
      </c>
      <c r="C347" s="63"/>
      <c r="D347" s="63"/>
      <c r="E347" s="63"/>
      <c r="F347" s="63"/>
      <c r="G347" s="63"/>
      <c r="H347" s="64">
        <v>87839.99</v>
      </c>
      <c r="I347" s="64"/>
      <c r="J347" s="64"/>
      <c r="K347" s="116"/>
      <c r="L347" s="116"/>
      <c r="M347" s="116"/>
      <c r="N347" s="116"/>
      <c r="O347" s="70">
        <v>151059.84</v>
      </c>
      <c r="P347" s="70">
        <v>90217.84</v>
      </c>
      <c r="Q347" s="70">
        <v>90217.84</v>
      </c>
      <c r="R347" s="70">
        <v>163123.99</v>
      </c>
      <c r="S347" s="119"/>
      <c r="T347" s="119"/>
      <c r="U347" s="118">
        <v>163123.99</v>
      </c>
      <c r="V347" s="118">
        <v>163123.99</v>
      </c>
      <c r="W347" s="119"/>
      <c r="X347" s="119"/>
      <c r="Y347" s="118">
        <v>163123.99</v>
      </c>
    </row>
    <row r="348" spans="2:25" ht="15.75">
      <c r="B348" s="63" t="s">
        <v>46</v>
      </c>
      <c r="C348" s="63"/>
      <c r="D348" s="63"/>
      <c r="E348" s="63"/>
      <c r="F348" s="63"/>
      <c r="G348" s="63"/>
      <c r="H348" s="64">
        <v>111770.97</v>
      </c>
      <c r="I348" s="64"/>
      <c r="J348" s="64"/>
      <c r="K348" s="116"/>
      <c r="L348" s="116"/>
      <c r="M348" s="116"/>
      <c r="N348" s="116"/>
      <c r="O348" s="70">
        <v>67951.98</v>
      </c>
      <c r="P348" s="70">
        <v>46926.98</v>
      </c>
      <c r="Q348" s="70">
        <v>46926.98</v>
      </c>
      <c r="R348" s="70">
        <v>134070.96</v>
      </c>
      <c r="S348" s="119"/>
      <c r="T348" s="119"/>
      <c r="U348" s="118">
        <v>134070.96</v>
      </c>
      <c r="V348" s="118">
        <v>134070.96</v>
      </c>
      <c r="W348" s="119"/>
      <c r="X348" s="119"/>
      <c r="Y348" s="118">
        <v>134070.96</v>
      </c>
    </row>
    <row r="349" spans="2:25" ht="15.75" hidden="1">
      <c r="B349" s="63" t="s">
        <v>133</v>
      </c>
      <c r="C349" s="63"/>
      <c r="D349" s="63"/>
      <c r="E349" s="63"/>
      <c r="F349" s="63"/>
      <c r="G349" s="63"/>
      <c r="H349" s="64">
        <v>0</v>
      </c>
      <c r="I349" s="64"/>
      <c r="J349" s="64"/>
      <c r="K349" s="116"/>
      <c r="L349" s="116"/>
      <c r="M349" s="116"/>
      <c r="N349" s="116"/>
      <c r="O349" s="70"/>
      <c r="P349" s="70">
        <v>0</v>
      </c>
      <c r="Q349" s="70">
        <v>0</v>
      </c>
      <c r="R349" s="70">
        <v>29274.99</v>
      </c>
      <c r="S349" s="119"/>
      <c r="T349" s="119"/>
      <c r="U349" s="118">
        <v>29274.99</v>
      </c>
      <c r="V349" s="118"/>
      <c r="W349" s="119"/>
      <c r="X349" s="119"/>
      <c r="Y349" s="118"/>
    </row>
    <row r="350" spans="2:25" ht="16.5" thickBot="1">
      <c r="B350" s="63" t="s">
        <v>48</v>
      </c>
      <c r="C350" s="63"/>
      <c r="D350" s="63"/>
      <c r="E350" s="63"/>
      <c r="F350" s="63"/>
      <c r="G350" s="63"/>
      <c r="H350" s="66">
        <v>30503.69</v>
      </c>
      <c r="I350" s="64"/>
      <c r="J350" s="64"/>
      <c r="K350" s="116"/>
      <c r="L350" s="116"/>
      <c r="M350" s="116"/>
      <c r="N350" s="116"/>
      <c r="O350" s="71">
        <v>41866.52</v>
      </c>
      <c r="P350" s="71">
        <v>41866.52</v>
      </c>
      <c r="Q350" s="71">
        <v>41866.52</v>
      </c>
      <c r="R350" s="71">
        <v>30503.69</v>
      </c>
      <c r="S350" s="119"/>
      <c r="T350" s="119"/>
      <c r="U350" s="296">
        <v>30503.69</v>
      </c>
      <c r="V350" s="296">
        <v>30503.69</v>
      </c>
      <c r="W350" s="119"/>
      <c r="X350" s="119"/>
      <c r="Y350" s="296">
        <v>30503.69</v>
      </c>
    </row>
    <row r="351" spans="2:25" ht="16.5" hidden="1" thickBot="1">
      <c r="B351" s="63" t="s">
        <v>134</v>
      </c>
      <c r="C351" s="63"/>
      <c r="D351" s="63"/>
      <c r="E351" s="63"/>
      <c r="F351" s="63"/>
      <c r="G351" s="63"/>
      <c r="H351" s="66">
        <v>0</v>
      </c>
      <c r="I351" s="64"/>
      <c r="J351" s="64"/>
      <c r="K351" s="116"/>
      <c r="L351" s="116"/>
      <c r="M351" s="116"/>
      <c r="N351" s="116"/>
      <c r="O351" s="230"/>
      <c r="P351" s="204"/>
      <c r="Q351" s="78"/>
      <c r="R351" s="78"/>
      <c r="S351" s="119"/>
      <c r="T351" s="119"/>
      <c r="U351" s="118"/>
      <c r="V351" s="118"/>
      <c r="W351" s="119"/>
      <c r="X351" s="119"/>
      <c r="Y351" s="118"/>
    </row>
    <row r="352" spans="2:39" ht="16.5">
      <c r="B352" s="63"/>
      <c r="C352" s="63"/>
      <c r="D352" s="63"/>
      <c r="E352" s="63"/>
      <c r="F352" s="63"/>
      <c r="G352" s="63"/>
      <c r="H352" s="72">
        <f>SUM(H347:H351)</f>
        <v>230114.65000000002</v>
      </c>
      <c r="I352" s="64"/>
      <c r="J352" s="64"/>
      <c r="K352" s="116"/>
      <c r="L352" s="116"/>
      <c r="M352" s="116"/>
      <c r="N352" s="116"/>
      <c r="O352" s="127">
        <f>SUM(O347:O350)</f>
        <v>260878.34</v>
      </c>
      <c r="P352" s="127">
        <f>SUM(P347:P350)</f>
        <v>179011.34</v>
      </c>
      <c r="Q352" s="127">
        <f>SUM(Q347:Q350)</f>
        <v>179011.34</v>
      </c>
      <c r="R352" s="127">
        <f>SUM(R347:R350)</f>
        <v>356973.62999999995</v>
      </c>
      <c r="S352" s="119"/>
      <c r="T352" s="119"/>
      <c r="U352" s="128">
        <f>SUM(U347:U350)</f>
        <v>356973.62999999995</v>
      </c>
      <c r="V352" s="128">
        <f>SUM(V347:V350)</f>
        <v>327698.63999999996</v>
      </c>
      <c r="W352" s="119"/>
      <c r="X352" s="119"/>
      <c r="Y352" s="128">
        <f>SUM(Y347:Y350)</f>
        <v>327698.63999999996</v>
      </c>
      <c r="AM352" s="508">
        <f>+O352-P352</f>
        <v>81867</v>
      </c>
    </row>
    <row r="353" spans="2:25" ht="16.5">
      <c r="B353" s="63" t="s">
        <v>26</v>
      </c>
      <c r="C353" s="63"/>
      <c r="D353" s="63"/>
      <c r="E353" s="63"/>
      <c r="F353" s="63"/>
      <c r="G353" s="63"/>
      <c r="H353" s="76"/>
      <c r="I353" s="64"/>
      <c r="J353" s="64"/>
      <c r="K353" s="116"/>
      <c r="L353" s="116"/>
      <c r="M353" s="116"/>
      <c r="N353" s="116"/>
      <c r="O353" s="132"/>
      <c r="P353" s="132"/>
      <c r="Q353" s="116"/>
      <c r="R353" s="116"/>
      <c r="S353" s="119"/>
      <c r="T353" s="119"/>
      <c r="U353" s="119"/>
      <c r="V353" s="118"/>
      <c r="W353" s="119"/>
      <c r="X353" s="119"/>
      <c r="Y353" s="118"/>
    </row>
    <row r="354" spans="2:25" ht="16.5" thickBot="1">
      <c r="B354" s="63" t="s">
        <v>123</v>
      </c>
      <c r="C354" s="63"/>
      <c r="D354" s="63"/>
      <c r="E354" s="63"/>
      <c r="F354" s="63"/>
      <c r="G354" s="63"/>
      <c r="H354" s="66">
        <v>212351.74</v>
      </c>
      <c r="I354" s="64"/>
      <c r="J354" s="64"/>
      <c r="K354" s="116"/>
      <c r="L354" s="116"/>
      <c r="M354" s="116"/>
      <c r="N354" s="116"/>
      <c r="O354" s="89">
        <f>+'Depreciación Acumulada'!E137</f>
        <v>168502.02</v>
      </c>
      <c r="P354" s="89">
        <f>+'Depreciación Acumulada'!F137</f>
        <v>168502.02</v>
      </c>
      <c r="Q354" s="89">
        <f>+'Depreciación Acumulada'!G137</f>
        <v>168502.02</v>
      </c>
      <c r="R354" s="89">
        <f>+'Depreciación Acumulada'!H137</f>
        <v>322124.69999999995</v>
      </c>
      <c r="S354" s="119"/>
      <c r="T354" s="119"/>
      <c r="U354" s="296">
        <v>293459.43</v>
      </c>
      <c r="V354" s="296">
        <v>264794.16</v>
      </c>
      <c r="W354" s="119"/>
      <c r="X354" s="119"/>
      <c r="Y354" s="296">
        <v>240398.16</v>
      </c>
    </row>
    <row r="355" spans="2:25" ht="18.75">
      <c r="B355" s="113" t="s">
        <v>124</v>
      </c>
      <c r="C355" s="63"/>
      <c r="D355" s="63"/>
      <c r="E355" s="63"/>
      <c r="F355" s="63"/>
      <c r="G355" s="63"/>
      <c r="H355" s="72">
        <f>+H352-H354</f>
        <v>17762.910000000033</v>
      </c>
      <c r="I355" s="64"/>
      <c r="J355" s="64"/>
      <c r="K355" s="116"/>
      <c r="L355" s="116"/>
      <c r="M355" s="116"/>
      <c r="N355" s="116"/>
      <c r="O355" s="127">
        <f>+O352-O354</f>
        <v>92376.32</v>
      </c>
      <c r="P355" s="127">
        <f>+P352-P354</f>
        <v>10509.320000000007</v>
      </c>
      <c r="Q355" s="127">
        <f>+Q352-Q354</f>
        <v>10509.320000000007</v>
      </c>
      <c r="R355" s="127">
        <f>+R352-R354</f>
        <v>34848.92999999999</v>
      </c>
      <c r="S355" s="119"/>
      <c r="T355" s="119"/>
      <c r="U355" s="128">
        <f>+U352-U354</f>
        <v>63514.19999999995</v>
      </c>
      <c r="V355" s="128">
        <f>+V352-V354</f>
        <v>62904.47999999998</v>
      </c>
      <c r="W355" s="119"/>
      <c r="X355" s="119"/>
      <c r="Y355" s="128">
        <f>+Y352-Y354</f>
        <v>87300.47999999995</v>
      </c>
    </row>
    <row r="356" spans="2:25" ht="15.75">
      <c r="B356" s="63"/>
      <c r="C356" s="63"/>
      <c r="D356" s="63"/>
      <c r="E356" s="63"/>
      <c r="F356" s="63"/>
      <c r="G356" s="63"/>
      <c r="H356" s="64"/>
      <c r="I356" s="64"/>
      <c r="J356" s="64"/>
      <c r="K356" s="116"/>
      <c r="L356" s="116"/>
      <c r="M356" s="116"/>
      <c r="N356" s="116"/>
      <c r="O356" s="132"/>
      <c r="P356" s="132"/>
      <c r="Q356" s="116"/>
      <c r="R356" s="116"/>
      <c r="S356" s="119"/>
      <c r="T356" s="119"/>
      <c r="U356" s="119"/>
      <c r="V356" s="118"/>
      <c r="W356" s="119"/>
      <c r="X356" s="119"/>
      <c r="Y356" s="118"/>
    </row>
    <row r="357" spans="2:25" ht="15.75">
      <c r="B357" s="63"/>
      <c r="C357" s="63"/>
      <c r="D357" s="63"/>
      <c r="E357" s="63"/>
      <c r="F357" s="63"/>
      <c r="G357" s="63"/>
      <c r="H357" s="64"/>
      <c r="I357" s="64"/>
      <c r="J357" s="64"/>
      <c r="K357" s="116"/>
      <c r="L357" s="116"/>
      <c r="M357" s="116"/>
      <c r="N357" s="116"/>
      <c r="O357" s="614" t="s">
        <v>660</v>
      </c>
      <c r="P357" s="614"/>
      <c r="Q357" s="614"/>
      <c r="R357" s="225"/>
      <c r="S357" s="119"/>
      <c r="T357" s="119"/>
      <c r="U357" s="119"/>
      <c r="V357" s="118"/>
      <c r="W357" s="119"/>
      <c r="X357" s="119"/>
      <c r="Y357" s="118"/>
    </row>
    <row r="358" spans="2:25" ht="18.75">
      <c r="B358" s="113" t="s">
        <v>628</v>
      </c>
      <c r="C358" s="63"/>
      <c r="D358" s="63"/>
      <c r="E358" s="63"/>
      <c r="F358" s="63"/>
      <c r="G358" s="63"/>
      <c r="H358" s="63"/>
      <c r="I358" s="64"/>
      <c r="J358" s="64"/>
      <c r="K358" s="116"/>
      <c r="L358" s="116"/>
      <c r="M358" s="116"/>
      <c r="N358" s="116"/>
      <c r="O358" s="114">
        <v>2022</v>
      </c>
      <c r="P358" s="114">
        <v>2021</v>
      </c>
      <c r="Q358" s="114">
        <v>2020</v>
      </c>
      <c r="R358" s="114">
        <v>2019</v>
      </c>
      <c r="S358" s="119"/>
      <c r="T358" s="119"/>
      <c r="U358" s="119"/>
      <c r="V358" s="118"/>
      <c r="W358" s="119"/>
      <c r="X358" s="119"/>
      <c r="Y358" s="118"/>
    </row>
    <row r="359" spans="2:39" ht="16.5" thickBot="1">
      <c r="B359" s="63" t="s">
        <v>134</v>
      </c>
      <c r="C359" s="63"/>
      <c r="D359" s="63"/>
      <c r="E359" s="63"/>
      <c r="F359" s="63"/>
      <c r="G359" s="63"/>
      <c r="H359" s="66">
        <v>0</v>
      </c>
      <c r="I359" s="64"/>
      <c r="J359" s="64"/>
      <c r="K359" s="116"/>
      <c r="L359" s="116"/>
      <c r="M359" s="116"/>
      <c r="N359" s="116"/>
      <c r="O359" s="70">
        <v>135791.45</v>
      </c>
      <c r="P359" s="70">
        <v>135791.45</v>
      </c>
      <c r="Q359" s="70">
        <v>1436.46</v>
      </c>
      <c r="R359" s="70">
        <v>7000</v>
      </c>
      <c r="S359" s="119"/>
      <c r="T359" s="119"/>
      <c r="U359" s="320">
        <v>0</v>
      </c>
      <c r="V359" s="118"/>
      <c r="W359" s="119"/>
      <c r="X359" s="119"/>
      <c r="Y359" s="118"/>
      <c r="AM359" s="508">
        <f>+O359-P359</f>
        <v>0</v>
      </c>
    </row>
    <row r="360" spans="2:25" ht="16.5">
      <c r="B360" s="63"/>
      <c r="C360" s="63"/>
      <c r="D360" s="63"/>
      <c r="E360" s="63"/>
      <c r="F360" s="63"/>
      <c r="G360" s="63"/>
      <c r="H360" s="72">
        <f>SUM(H359:H359)</f>
        <v>0</v>
      </c>
      <c r="I360" s="64"/>
      <c r="J360" s="64"/>
      <c r="K360" s="116"/>
      <c r="L360" s="116"/>
      <c r="M360" s="116"/>
      <c r="N360" s="116"/>
      <c r="O360" s="132"/>
      <c r="P360" s="132"/>
      <c r="Q360" s="116"/>
      <c r="R360" s="116"/>
      <c r="S360" s="119"/>
      <c r="T360" s="119"/>
      <c r="U360" s="320"/>
      <c r="V360" s="118"/>
      <c r="W360" s="119"/>
      <c r="X360" s="119"/>
      <c r="Y360" s="118"/>
    </row>
    <row r="361" spans="2:25" ht="16.5">
      <c r="B361" s="63" t="s">
        <v>26</v>
      </c>
      <c r="C361" s="63"/>
      <c r="D361" s="63"/>
      <c r="E361" s="63"/>
      <c r="F361" s="63"/>
      <c r="G361" s="63"/>
      <c r="H361" s="76"/>
      <c r="I361" s="64"/>
      <c r="J361" s="64"/>
      <c r="K361" s="116"/>
      <c r="L361" s="116"/>
      <c r="M361" s="116"/>
      <c r="N361" s="116"/>
      <c r="O361" s="132"/>
      <c r="P361" s="132"/>
      <c r="Q361" s="116"/>
      <c r="R361" s="116"/>
      <c r="S361" s="119"/>
      <c r="T361" s="119"/>
      <c r="U361" s="320"/>
      <c r="V361" s="118"/>
      <c r="W361" s="119"/>
      <c r="X361" s="119"/>
      <c r="Y361" s="118"/>
    </row>
    <row r="362" spans="2:25" ht="16.5" thickBot="1">
      <c r="B362" s="63" t="s">
        <v>123</v>
      </c>
      <c r="C362" s="63"/>
      <c r="D362" s="63"/>
      <c r="E362" s="63"/>
      <c r="F362" s="63"/>
      <c r="G362" s="63"/>
      <c r="H362" s="66"/>
      <c r="I362" s="64"/>
      <c r="J362" s="64"/>
      <c r="K362" s="116"/>
      <c r="L362" s="116"/>
      <c r="M362" s="116"/>
      <c r="N362" s="116"/>
      <c r="O362" s="142">
        <f>+'Depreciación Acumulada'!E143</f>
        <v>67409.25</v>
      </c>
      <c r="P362" s="142">
        <f>+'Depreciación Acumulada'!F142</f>
        <v>52805.36</v>
      </c>
      <c r="Q362" s="142">
        <f>+'Depreciación Acumulada'!G142</f>
        <v>1436.4599999999991</v>
      </c>
      <c r="R362" s="142">
        <f>+'Depreciación Acumulada'!H143</f>
        <v>437.5</v>
      </c>
      <c r="S362" s="119"/>
      <c r="T362" s="119"/>
      <c r="U362" s="321"/>
      <c r="V362" s="118"/>
      <c r="W362" s="119"/>
      <c r="X362" s="119"/>
      <c r="Y362" s="118"/>
    </row>
    <row r="363" spans="2:39" ht="16.5">
      <c r="B363" s="75" t="s">
        <v>124</v>
      </c>
      <c r="C363" s="63"/>
      <c r="D363" s="63"/>
      <c r="E363" s="63"/>
      <c r="F363" s="63"/>
      <c r="G363" s="63"/>
      <c r="H363" s="72">
        <f>+H360-H362</f>
        <v>0</v>
      </c>
      <c r="I363" s="64"/>
      <c r="J363" s="64"/>
      <c r="K363" s="116"/>
      <c r="L363" s="116"/>
      <c r="M363" s="116"/>
      <c r="N363" s="116"/>
      <c r="O363" s="146">
        <f>+O359-O362</f>
        <v>68382.20000000001</v>
      </c>
      <c r="P363" s="146">
        <f>+P359-P362</f>
        <v>82986.09000000001</v>
      </c>
      <c r="Q363" s="146">
        <f>+Q359-Q362</f>
        <v>0</v>
      </c>
      <c r="R363" s="146">
        <f>+R359-R362</f>
        <v>6562.5</v>
      </c>
      <c r="S363" s="119"/>
      <c r="T363" s="119"/>
      <c r="U363" s="322">
        <f>+U359-U362</f>
        <v>0</v>
      </c>
      <c r="V363" s="118"/>
      <c r="W363" s="119"/>
      <c r="X363" s="119"/>
      <c r="Y363" s="118"/>
      <c r="AM363" s="546"/>
    </row>
    <row r="364" spans="2:25" ht="16.5">
      <c r="B364" s="75"/>
      <c r="C364" s="63"/>
      <c r="D364" s="63"/>
      <c r="E364" s="63"/>
      <c r="F364" s="63"/>
      <c r="G364" s="63"/>
      <c r="H364" s="72"/>
      <c r="I364" s="64"/>
      <c r="J364" s="64"/>
      <c r="K364" s="116"/>
      <c r="L364" s="116"/>
      <c r="M364" s="116"/>
      <c r="N364" s="116"/>
      <c r="O364" s="132"/>
      <c r="P364" s="132"/>
      <c r="Q364" s="116"/>
      <c r="R364" s="146"/>
      <c r="S364" s="119"/>
      <c r="T364" s="119"/>
      <c r="U364" s="322"/>
      <c r="V364" s="118"/>
      <c r="W364" s="119"/>
      <c r="X364" s="119"/>
      <c r="Y364" s="118"/>
    </row>
    <row r="365" spans="2:25" ht="16.5">
      <c r="B365" s="75"/>
      <c r="C365" s="63"/>
      <c r="D365" s="63"/>
      <c r="E365" s="63"/>
      <c r="F365" s="63"/>
      <c r="G365" s="63"/>
      <c r="H365" s="72"/>
      <c r="I365" s="64"/>
      <c r="J365" s="64"/>
      <c r="K365" s="116"/>
      <c r="L365" s="116"/>
      <c r="M365" s="116"/>
      <c r="N365" s="116"/>
      <c r="O365" s="614" t="s">
        <v>660</v>
      </c>
      <c r="P365" s="614"/>
      <c r="Q365" s="614"/>
      <c r="R365" s="225"/>
      <c r="S365" s="119"/>
      <c r="T365" s="119"/>
      <c r="U365" s="322"/>
      <c r="V365" s="118"/>
      <c r="W365" s="119"/>
      <c r="X365" s="119"/>
      <c r="Y365" s="118"/>
    </row>
    <row r="366" spans="2:25" ht="18.75">
      <c r="B366" s="75"/>
      <c r="C366" s="63"/>
      <c r="D366" s="63"/>
      <c r="E366" s="63"/>
      <c r="F366" s="63"/>
      <c r="G366" s="63"/>
      <c r="H366" s="72"/>
      <c r="I366" s="64"/>
      <c r="J366" s="64"/>
      <c r="K366" s="116"/>
      <c r="L366" s="116"/>
      <c r="M366" s="116"/>
      <c r="N366" s="116"/>
      <c r="O366" s="114">
        <v>2022</v>
      </c>
      <c r="P366" s="114">
        <v>2021</v>
      </c>
      <c r="Q366" s="114">
        <v>2020</v>
      </c>
      <c r="R366" s="114">
        <v>2019</v>
      </c>
      <c r="S366" s="119"/>
      <c r="T366" s="119"/>
      <c r="U366" s="322"/>
      <c r="V366" s="118"/>
      <c r="W366" s="119"/>
      <c r="X366" s="119"/>
      <c r="Y366" s="118"/>
    </row>
    <row r="367" spans="2:25" ht="18.75">
      <c r="B367" s="113" t="s">
        <v>670</v>
      </c>
      <c r="C367" s="63"/>
      <c r="D367" s="63"/>
      <c r="E367" s="63"/>
      <c r="F367" s="63"/>
      <c r="G367" s="63"/>
      <c r="H367" s="72"/>
      <c r="I367" s="64"/>
      <c r="J367" s="64"/>
      <c r="K367" s="116"/>
      <c r="L367" s="116"/>
      <c r="M367" s="116"/>
      <c r="N367" s="116"/>
      <c r="O367" s="132"/>
      <c r="R367" s="146"/>
      <c r="S367" s="119"/>
      <c r="T367" s="119"/>
      <c r="U367" s="322"/>
      <c r="V367" s="118"/>
      <c r="W367" s="119"/>
      <c r="X367" s="119"/>
      <c r="Y367" s="118"/>
    </row>
    <row r="368" spans="2:39" ht="16.5">
      <c r="B368" s="63" t="s">
        <v>132</v>
      </c>
      <c r="C368" s="63"/>
      <c r="D368" s="63"/>
      <c r="E368" s="63"/>
      <c r="F368" s="63"/>
      <c r="G368" s="63"/>
      <c r="H368" s="72"/>
      <c r="I368" s="64"/>
      <c r="J368" s="64"/>
      <c r="K368" s="116"/>
      <c r="L368" s="116"/>
      <c r="M368" s="116"/>
      <c r="N368" s="116"/>
      <c r="O368" s="70">
        <v>74284.84</v>
      </c>
      <c r="P368" s="70">
        <v>74284.84</v>
      </c>
      <c r="Q368" s="70">
        <v>74284.84</v>
      </c>
      <c r="R368" s="146"/>
      <c r="S368" s="119"/>
      <c r="T368" s="119"/>
      <c r="U368" s="322"/>
      <c r="V368" s="118"/>
      <c r="W368" s="119"/>
      <c r="X368" s="119"/>
      <c r="Y368" s="118"/>
      <c r="AM368" s="508">
        <f>+O368-P368</f>
        <v>0</v>
      </c>
    </row>
    <row r="369" spans="2:25" ht="16.5">
      <c r="B369" s="75"/>
      <c r="C369" s="63"/>
      <c r="D369" s="63"/>
      <c r="E369" s="63"/>
      <c r="F369" s="63"/>
      <c r="G369" s="63"/>
      <c r="H369" s="72"/>
      <c r="I369" s="64"/>
      <c r="J369" s="64"/>
      <c r="K369" s="116"/>
      <c r="L369" s="116"/>
      <c r="M369" s="116"/>
      <c r="N369" s="116"/>
      <c r="O369" s="132"/>
      <c r="P369" s="132"/>
      <c r="Q369" s="116"/>
      <c r="R369" s="146"/>
      <c r="S369" s="119"/>
      <c r="T369" s="119"/>
      <c r="U369" s="322"/>
      <c r="V369" s="118"/>
      <c r="W369" s="119"/>
      <c r="X369" s="119"/>
      <c r="Y369" s="118"/>
    </row>
    <row r="370" spans="2:25" ht="15.75">
      <c r="B370" s="63" t="s">
        <v>26</v>
      </c>
      <c r="C370" s="63"/>
      <c r="D370" s="63"/>
      <c r="E370" s="63"/>
      <c r="F370" s="63"/>
      <c r="G370" s="63"/>
      <c r="H370" s="64"/>
      <c r="I370" s="64"/>
      <c r="J370" s="64"/>
      <c r="K370" s="116"/>
      <c r="L370" s="116"/>
      <c r="M370" s="116"/>
      <c r="N370" s="116"/>
      <c r="O370" s="132"/>
      <c r="P370" s="132"/>
      <c r="Q370" s="116"/>
      <c r="R370" s="116"/>
      <c r="S370" s="119"/>
      <c r="T370" s="119"/>
      <c r="U370" s="119"/>
      <c r="V370" s="118"/>
      <c r="W370" s="119"/>
      <c r="X370" s="119"/>
      <c r="Y370" s="118"/>
    </row>
    <row r="371" spans="2:25" ht="16.5" thickBot="1">
      <c r="B371" s="63" t="s">
        <v>123</v>
      </c>
      <c r="C371" s="63"/>
      <c r="D371" s="63"/>
      <c r="E371" s="63"/>
      <c r="F371" s="63"/>
      <c r="G371" s="63"/>
      <c r="H371" s="64"/>
      <c r="I371" s="64"/>
      <c r="J371" s="64"/>
      <c r="K371" s="116"/>
      <c r="L371" s="116"/>
      <c r="M371" s="116"/>
      <c r="N371" s="116"/>
      <c r="O371" s="142">
        <f>+'Depreciación Acumulada'!E147</f>
        <v>74284.84</v>
      </c>
      <c r="P371" s="142">
        <f>+'Depreciación Acumulada'!F146</f>
        <v>71250.57</v>
      </c>
      <c r="Q371" s="142">
        <f>+'Depreciación Acumulada'!G146</f>
        <v>46466.25</v>
      </c>
      <c r="R371" s="142"/>
      <c r="S371" s="119"/>
      <c r="T371" s="119"/>
      <c r="U371" s="119"/>
      <c r="V371" s="118"/>
      <c r="W371" s="119"/>
      <c r="X371" s="119"/>
      <c r="Y371" s="118"/>
    </row>
    <row r="372" spans="2:41" ht="18.75">
      <c r="B372" s="113" t="s">
        <v>124</v>
      </c>
      <c r="C372" s="63"/>
      <c r="D372" s="63"/>
      <c r="E372" s="63"/>
      <c r="F372" s="63"/>
      <c r="G372" s="63"/>
      <c r="H372" s="64"/>
      <c r="I372" s="64"/>
      <c r="J372" s="64"/>
      <c r="K372" s="116"/>
      <c r="L372" s="116"/>
      <c r="M372" s="116"/>
      <c r="N372" s="116"/>
      <c r="O372" s="188">
        <f>+O368-O371</f>
        <v>0</v>
      </c>
      <c r="P372" s="188">
        <f>+P368-P371</f>
        <v>3034.2699999999895</v>
      </c>
      <c r="Q372" s="188">
        <f>+Q368-Q371</f>
        <v>27818.589999999997</v>
      </c>
      <c r="R372" s="188">
        <v>0</v>
      </c>
      <c r="S372" s="119"/>
      <c r="T372" s="119"/>
      <c r="U372" s="119"/>
      <c r="V372" s="118"/>
      <c r="W372" s="119"/>
      <c r="X372" s="119"/>
      <c r="Y372" s="118"/>
      <c r="AN372" s="431">
        <f>+O374+O295+O438</f>
        <v>22206304.86</v>
      </c>
      <c r="AO372" s="431">
        <f>+P374+P295+O438</f>
        <v>20174690.83</v>
      </c>
    </row>
    <row r="373" spans="2:41" ht="16.5" thickBot="1">
      <c r="B373" s="63"/>
      <c r="C373" s="63"/>
      <c r="D373" s="63"/>
      <c r="E373" s="63"/>
      <c r="F373" s="63"/>
      <c r="G373" s="63"/>
      <c r="H373" s="66"/>
      <c r="I373" s="64"/>
      <c r="J373" s="64"/>
      <c r="K373" s="116"/>
      <c r="L373" s="116"/>
      <c r="M373" s="116"/>
      <c r="N373" s="116"/>
      <c r="O373" s="142"/>
      <c r="P373" s="142"/>
      <c r="Q373" s="142"/>
      <c r="R373" s="147"/>
      <c r="S373" s="119"/>
      <c r="T373" s="119"/>
      <c r="U373" s="323"/>
      <c r="V373" s="296"/>
      <c r="W373" s="119"/>
      <c r="X373" s="119"/>
      <c r="Y373" s="296"/>
      <c r="AO373" s="431">
        <f>+AO372-20174690.83</f>
        <v>0</v>
      </c>
    </row>
    <row r="374" spans="2:40" ht="21" thickBot="1">
      <c r="B374" s="186" t="s">
        <v>138</v>
      </c>
      <c r="C374" s="63"/>
      <c r="D374" s="63"/>
      <c r="E374" s="63"/>
      <c r="F374" s="63"/>
      <c r="G374" s="63"/>
      <c r="H374" s="134">
        <f>+H316+H330+H342+H355+H363</f>
        <v>4226688.589999998</v>
      </c>
      <c r="I374" s="64"/>
      <c r="J374" s="64"/>
      <c r="K374" s="116"/>
      <c r="L374" s="116"/>
      <c r="M374" s="116"/>
      <c r="N374" s="116"/>
      <c r="O374" s="217">
        <f>+O316+O330+O342+O355+O363+O372</f>
        <v>4880212.67</v>
      </c>
      <c r="P374" s="217">
        <f>+P316+P330+P342+P355+P363+P372</f>
        <v>4040401.7999999993</v>
      </c>
      <c r="Q374" s="217">
        <f>+Q316+Q330+Q342+Q355+Q363+Q372</f>
        <v>3205466.550000001</v>
      </c>
      <c r="R374" s="217">
        <f>+R316+R330+R342+R355+R363+R372</f>
        <v>7283658.710000003</v>
      </c>
      <c r="S374" s="119"/>
      <c r="T374" s="119"/>
      <c r="U374" s="304">
        <f>+U316+U330+U342+U355+U363</f>
        <v>5063733.459999999</v>
      </c>
      <c r="V374" s="304">
        <f>+V316+V330+V342+V355</f>
        <v>5957140.6499999985</v>
      </c>
      <c r="W374" s="119"/>
      <c r="X374" s="119"/>
      <c r="Y374" s="304">
        <f>+Y316+Y330+Y342+Y355</f>
        <v>4516916.509999999</v>
      </c>
      <c r="AN374" s="297">
        <f>+O313+O327+O339+O352+O359+O368</f>
        <v>16413549.52</v>
      </c>
    </row>
    <row r="375" spans="1:40" ht="27" thickTop="1">
      <c r="A375" s="148"/>
      <c r="B375" s="12"/>
      <c r="C375" s="111"/>
      <c r="D375" s="111"/>
      <c r="E375" s="111"/>
      <c r="F375" s="111"/>
      <c r="G375" s="111"/>
      <c r="H375" s="111"/>
      <c r="I375" s="111"/>
      <c r="J375" s="111"/>
      <c r="K375" s="112"/>
      <c r="V375" s="298"/>
      <c r="Y375" s="298"/>
      <c r="AM375" s="344">
        <f>SUM(AM194:AM374)</f>
        <v>7452218.0200000005</v>
      </c>
      <c r="AN375" s="434">
        <f>+AN374-'[7]Export3'!$J$55</f>
        <v>0</v>
      </c>
    </row>
    <row r="376" spans="1:40" ht="26.25">
      <c r="A376" s="148"/>
      <c r="B376" s="12"/>
      <c r="C376" s="111"/>
      <c r="D376" s="111"/>
      <c r="E376" s="111"/>
      <c r="F376" s="111"/>
      <c r="G376" s="111"/>
      <c r="H376" s="111"/>
      <c r="I376" s="111"/>
      <c r="J376" s="111"/>
      <c r="K376" s="112"/>
      <c r="V376" s="298"/>
      <c r="Y376" s="298"/>
      <c r="AN376" s="297">
        <f>+O315+O329+O341+O354+O362+O371</f>
        <v>11533336.850000001</v>
      </c>
    </row>
    <row r="377" spans="1:25" ht="26.25">
      <c r="A377" s="148"/>
      <c r="B377" s="12"/>
      <c r="C377" s="111"/>
      <c r="D377" s="111"/>
      <c r="E377" s="111"/>
      <c r="F377" s="111"/>
      <c r="G377" s="111"/>
      <c r="H377" s="111"/>
      <c r="I377" s="111"/>
      <c r="J377" s="111"/>
      <c r="K377" s="112"/>
      <c r="V377" s="298"/>
      <c r="Y377" s="298"/>
    </row>
    <row r="378" spans="1:25" ht="20.25">
      <c r="A378" s="149"/>
      <c r="B378" s="186" t="s">
        <v>139</v>
      </c>
      <c r="C378" s="150"/>
      <c r="D378" s="150"/>
      <c r="E378" s="150"/>
      <c r="F378" s="150"/>
      <c r="G378" s="150"/>
      <c r="H378" s="150"/>
      <c r="I378" s="150"/>
      <c r="J378" s="150"/>
      <c r="K378" s="151"/>
      <c r="O378" s="614" t="s">
        <v>660</v>
      </c>
      <c r="P378" s="614"/>
      <c r="Q378" s="614"/>
      <c r="R378" s="225"/>
      <c r="U378" s="289">
        <v>2018</v>
      </c>
      <c r="V378" s="307">
        <v>2017</v>
      </c>
      <c r="W378" s="312"/>
      <c r="X378" s="312"/>
      <c r="Y378" s="307">
        <v>2016</v>
      </c>
    </row>
    <row r="379" spans="1:25" ht="18.75">
      <c r="A379" s="149"/>
      <c r="B379" s="63" t="s">
        <v>119</v>
      </c>
      <c r="C379" s="150"/>
      <c r="D379" s="150"/>
      <c r="E379" s="150"/>
      <c r="F379" s="150"/>
      <c r="G379" s="150"/>
      <c r="H379" s="150"/>
      <c r="I379" s="150"/>
      <c r="J379" s="150"/>
      <c r="K379" s="151"/>
      <c r="O379" s="114">
        <v>2022</v>
      </c>
      <c r="P379" s="114">
        <v>2021</v>
      </c>
      <c r="Q379" s="114">
        <v>2020</v>
      </c>
      <c r="R379" s="114">
        <v>2019</v>
      </c>
      <c r="Y379" s="298"/>
    </row>
    <row r="380" spans="1:25" ht="16.5">
      <c r="A380" s="149"/>
      <c r="B380" s="63" t="s">
        <v>903</v>
      </c>
      <c r="C380" s="150"/>
      <c r="D380" s="150"/>
      <c r="E380" s="150"/>
      <c r="F380" s="150"/>
      <c r="G380" s="150"/>
      <c r="H380" s="150"/>
      <c r="I380" s="150"/>
      <c r="J380" s="150"/>
      <c r="K380" s="151"/>
      <c r="Y380" s="298"/>
    </row>
    <row r="381" spans="1:25" ht="15.75">
      <c r="A381" s="149"/>
      <c r="B381" s="152"/>
      <c r="C381" s="150"/>
      <c r="D381" s="150"/>
      <c r="E381" s="150"/>
      <c r="F381" s="150"/>
      <c r="G381" s="150"/>
      <c r="H381" s="150"/>
      <c r="I381" s="150"/>
      <c r="J381" s="150"/>
      <c r="K381" s="151"/>
      <c r="Y381" s="298"/>
    </row>
    <row r="382" spans="2:25" ht="18.75">
      <c r="B382" s="113" t="s">
        <v>140</v>
      </c>
      <c r="C382" s="12"/>
      <c r="D382" s="12"/>
      <c r="E382" s="12"/>
      <c r="F382" s="12"/>
      <c r="G382" s="12"/>
      <c r="H382" s="6"/>
      <c r="I382" s="6"/>
      <c r="J382" s="6"/>
      <c r="Y382" s="298"/>
    </row>
    <row r="383" spans="2:38" ht="15.75">
      <c r="B383" s="63" t="s">
        <v>7</v>
      </c>
      <c r="C383" s="63"/>
      <c r="D383" s="63"/>
      <c r="E383" s="63"/>
      <c r="F383" s="63"/>
      <c r="G383" s="63"/>
      <c r="H383" s="64">
        <v>70000</v>
      </c>
      <c r="I383" s="64"/>
      <c r="J383" s="64"/>
      <c r="K383" s="116"/>
      <c r="L383" s="116"/>
      <c r="M383" s="116"/>
      <c r="N383" s="116"/>
      <c r="O383" s="70">
        <v>264700</v>
      </c>
      <c r="P383" s="70">
        <v>70000</v>
      </c>
      <c r="Q383" s="70">
        <v>70000</v>
      </c>
      <c r="R383" s="70">
        <v>70000</v>
      </c>
      <c r="S383" s="119"/>
      <c r="T383" s="119"/>
      <c r="U383" s="118">
        <v>70000</v>
      </c>
      <c r="V383" s="118">
        <v>70000</v>
      </c>
      <c r="W383" s="119"/>
      <c r="X383" s="119"/>
      <c r="Y383" s="118">
        <v>70000</v>
      </c>
      <c r="AL383" s="297"/>
    </row>
    <row r="384" spans="2:41" s="172" customFormat="1" ht="15.75">
      <c r="B384" s="63" t="s">
        <v>904</v>
      </c>
      <c r="C384" s="63"/>
      <c r="D384" s="63"/>
      <c r="E384" s="63"/>
      <c r="F384" s="63"/>
      <c r="G384" s="63"/>
      <c r="H384" s="64"/>
      <c r="I384" s="64"/>
      <c r="J384" s="64"/>
      <c r="K384" s="132"/>
      <c r="L384" s="132"/>
      <c r="M384" s="132"/>
      <c r="N384" s="132"/>
      <c r="O384" s="70">
        <v>130980</v>
      </c>
      <c r="P384" s="70"/>
      <c r="Q384" s="70"/>
      <c r="R384" s="70"/>
      <c r="S384" s="119"/>
      <c r="T384" s="119"/>
      <c r="U384" s="118"/>
      <c r="V384" s="118"/>
      <c r="W384" s="119"/>
      <c r="X384" s="119"/>
      <c r="Y384" s="118"/>
      <c r="Z384" s="129"/>
      <c r="AA384" s="129"/>
      <c r="AB384" s="129"/>
      <c r="AC384" s="129"/>
      <c r="AD384" s="129"/>
      <c r="AE384" s="129"/>
      <c r="AF384" s="129"/>
      <c r="AL384" s="297"/>
      <c r="AM384" s="344"/>
      <c r="AN384" s="129"/>
      <c r="AO384" s="297">
        <f>+O384+O386+O383-P383+O395-P395+O407+O419-P419</f>
        <v>1027002.96</v>
      </c>
    </row>
    <row r="385" spans="2:38" ht="16.5" thickBot="1">
      <c r="B385" s="63" t="s">
        <v>141</v>
      </c>
      <c r="C385" s="63"/>
      <c r="D385" s="63"/>
      <c r="E385" s="63"/>
      <c r="F385" s="63"/>
      <c r="G385" s="63"/>
      <c r="H385" s="66">
        <v>9153</v>
      </c>
      <c r="I385" s="65"/>
      <c r="J385" s="65"/>
      <c r="K385" s="116"/>
      <c r="L385" s="116"/>
      <c r="M385" s="116"/>
      <c r="N385" s="116"/>
      <c r="O385" s="187">
        <f>9153+127392.8</f>
        <v>136545.8</v>
      </c>
      <c r="P385" s="187">
        <f>9153+127392.8</f>
        <v>136545.8</v>
      </c>
      <c r="Q385" s="71">
        <f>9153+127392.8</f>
        <v>136545.8</v>
      </c>
      <c r="R385" s="71">
        <f>9153+127392.8</f>
        <v>136545.8</v>
      </c>
      <c r="S385" s="119"/>
      <c r="T385" s="119"/>
      <c r="U385" s="296">
        <f>9153+127392.8</f>
        <v>136545.8</v>
      </c>
      <c r="V385" s="296">
        <v>9153</v>
      </c>
      <c r="W385" s="119"/>
      <c r="X385" s="119"/>
      <c r="Y385" s="296">
        <v>9153</v>
      </c>
      <c r="AL385" s="297"/>
    </row>
    <row r="386" spans="2:41" s="172" customFormat="1" ht="15.75">
      <c r="B386" s="63" t="s">
        <v>908</v>
      </c>
      <c r="C386" s="63"/>
      <c r="D386" s="63"/>
      <c r="E386" s="63"/>
      <c r="F386" s="63"/>
      <c r="G386" s="63"/>
      <c r="H386" s="65"/>
      <c r="I386" s="65"/>
      <c r="J386" s="65"/>
      <c r="K386" s="132"/>
      <c r="L386" s="132"/>
      <c r="M386" s="132"/>
      <c r="N386" s="132"/>
      <c r="O386" s="187">
        <f>50999.36+163989.31+8499.9+8499.9+8499.9</f>
        <v>240488.36999999997</v>
      </c>
      <c r="P386" s="187"/>
      <c r="Q386" s="187"/>
      <c r="R386" s="187"/>
      <c r="S386" s="119"/>
      <c r="T386" s="119"/>
      <c r="U386" s="314"/>
      <c r="V386" s="314"/>
      <c r="W386" s="119"/>
      <c r="X386" s="119"/>
      <c r="Y386" s="314"/>
      <c r="Z386" s="129"/>
      <c r="AA386" s="129"/>
      <c r="AB386" s="129"/>
      <c r="AC386" s="129"/>
      <c r="AD386" s="129"/>
      <c r="AE386" s="129"/>
      <c r="AF386" s="129"/>
      <c r="AL386" s="297"/>
      <c r="AM386" s="344"/>
      <c r="AN386" s="129"/>
      <c r="AO386" s="129"/>
    </row>
    <row r="387" spans="2:41" s="172" customFormat="1" ht="16.5" thickBot="1">
      <c r="B387" s="63"/>
      <c r="C387" s="63"/>
      <c r="D387" s="63"/>
      <c r="E387" s="63"/>
      <c r="F387" s="63"/>
      <c r="G387" s="63"/>
      <c r="H387" s="65"/>
      <c r="I387" s="65"/>
      <c r="J387" s="65"/>
      <c r="K387" s="132"/>
      <c r="L387" s="132"/>
      <c r="M387" s="132"/>
      <c r="N387" s="132"/>
      <c r="O387" s="89"/>
      <c r="P387" s="89"/>
      <c r="Q387" s="187"/>
      <c r="R387" s="187"/>
      <c r="S387" s="119"/>
      <c r="T387" s="119"/>
      <c r="U387" s="314"/>
      <c r="V387" s="314"/>
      <c r="W387" s="119"/>
      <c r="X387" s="119"/>
      <c r="Y387" s="314"/>
      <c r="Z387" s="129"/>
      <c r="AA387" s="129"/>
      <c r="AB387" s="129"/>
      <c r="AC387" s="129"/>
      <c r="AD387" s="129"/>
      <c r="AE387" s="129"/>
      <c r="AF387" s="129"/>
      <c r="AL387" s="297"/>
      <c r="AM387" s="344"/>
      <c r="AN387" s="129"/>
      <c r="AO387" s="129"/>
    </row>
    <row r="388" spans="2:38" ht="16.5">
      <c r="B388" s="63"/>
      <c r="C388" s="63"/>
      <c r="D388" s="63"/>
      <c r="E388" s="63"/>
      <c r="F388" s="63"/>
      <c r="G388" s="63"/>
      <c r="H388" s="72">
        <f>SUM(H383:H385)</f>
        <v>79153</v>
      </c>
      <c r="I388" s="72"/>
      <c r="J388" s="72"/>
      <c r="K388" s="116"/>
      <c r="L388" s="116"/>
      <c r="M388" s="116"/>
      <c r="N388" s="116"/>
      <c r="O388" s="127">
        <f>SUM(O383:O387)</f>
        <v>772714.17</v>
      </c>
      <c r="P388" s="127">
        <f>SUM(P383:P385)</f>
        <v>206545.8</v>
      </c>
      <c r="Q388" s="127">
        <f>SUM(Q383:Q385)</f>
        <v>206545.8</v>
      </c>
      <c r="R388" s="127">
        <f>SUM(R383:R385)</f>
        <v>206545.8</v>
      </c>
      <c r="S388" s="119"/>
      <c r="T388" s="119"/>
      <c r="U388" s="128">
        <f>SUM(U383:U385)</f>
        <v>206545.8</v>
      </c>
      <c r="V388" s="128">
        <f>SUM(V383:V385)</f>
        <v>79153</v>
      </c>
      <c r="W388" s="119"/>
      <c r="X388" s="119"/>
      <c r="Y388" s="128">
        <f>SUM(Y383:Y385)</f>
        <v>79153</v>
      </c>
      <c r="AL388" s="297">
        <f>+O388-P388</f>
        <v>566168.3700000001</v>
      </c>
    </row>
    <row r="389" spans="1:38" ht="16.5">
      <c r="A389" s="149"/>
      <c r="B389" s="63" t="s">
        <v>26</v>
      </c>
      <c r="C389" s="63"/>
      <c r="D389" s="63"/>
      <c r="E389" s="63"/>
      <c r="F389" s="63"/>
      <c r="G389" s="63"/>
      <c r="H389" s="72"/>
      <c r="I389" s="72"/>
      <c r="J389" s="72"/>
      <c r="K389" s="153"/>
      <c r="L389" s="116"/>
      <c r="M389" s="116"/>
      <c r="N389" s="116"/>
      <c r="O389" s="132"/>
      <c r="P389" s="132"/>
      <c r="Q389" s="116"/>
      <c r="R389" s="116"/>
      <c r="S389" s="119"/>
      <c r="T389" s="119"/>
      <c r="U389" s="119"/>
      <c r="V389" s="118"/>
      <c r="W389" s="119"/>
      <c r="X389" s="119"/>
      <c r="Y389" s="118"/>
      <c r="AL389" s="297"/>
    </row>
    <row r="390" spans="2:41" ht="17.25" thickBot="1">
      <c r="B390" s="63" t="s">
        <v>123</v>
      </c>
      <c r="C390" s="63"/>
      <c r="D390" s="63"/>
      <c r="E390" s="63"/>
      <c r="F390" s="63"/>
      <c r="G390" s="63"/>
      <c r="H390" s="66">
        <v>79153</v>
      </c>
      <c r="I390" s="76"/>
      <c r="J390" s="76"/>
      <c r="K390" s="116"/>
      <c r="L390" s="116"/>
      <c r="M390" s="116"/>
      <c r="N390" s="116"/>
      <c r="O390" s="89">
        <f>+'Depreciación Acumulada'!E156</f>
        <v>206545.80000000002</v>
      </c>
      <c r="P390" s="89">
        <f>+'Depreciación Acumulada'!F156</f>
        <v>132233.34</v>
      </c>
      <c r="Q390" s="89">
        <f>+'Depreciación Acumulada'!G156</f>
        <v>132233.34</v>
      </c>
      <c r="R390" s="89">
        <f>+'Depreciación Acumulada'!H156</f>
        <v>121617.26000000001</v>
      </c>
      <c r="S390" s="119"/>
      <c r="T390" s="119"/>
      <c r="U390" s="296">
        <v>100385.13</v>
      </c>
      <c r="V390" s="296">
        <v>79153</v>
      </c>
      <c r="W390" s="119"/>
      <c r="X390" s="119"/>
      <c r="Y390" s="296">
        <v>79153</v>
      </c>
      <c r="AL390" s="297"/>
      <c r="AM390" s="547">
        <f>+P390+P397+P412+P422</f>
        <v>3116638.66</v>
      </c>
      <c r="AN390" s="297">
        <f>+O390-P390</f>
        <v>74312.46000000002</v>
      </c>
      <c r="AO390" s="297">
        <f>+O390+O397+O412+O422</f>
        <v>3701133.67</v>
      </c>
    </row>
    <row r="391" spans="2:38" ht="18.75">
      <c r="B391" s="113" t="s">
        <v>124</v>
      </c>
      <c r="C391" s="63"/>
      <c r="D391" s="63"/>
      <c r="E391" s="63"/>
      <c r="F391" s="63"/>
      <c r="G391" s="63"/>
      <c r="H391" s="72">
        <f>+H388-H390</f>
        <v>0</v>
      </c>
      <c r="I391" s="72"/>
      <c r="J391" s="72"/>
      <c r="K391" s="116"/>
      <c r="L391" s="116"/>
      <c r="M391" s="116"/>
      <c r="N391" s="116"/>
      <c r="O391" s="146">
        <f>+O388-O390</f>
        <v>566168.37</v>
      </c>
      <c r="P391" s="146">
        <f>+P388-P390</f>
        <v>74312.45999999999</v>
      </c>
      <c r="Q391" s="146">
        <f>+Q388-Q390</f>
        <v>74312.45999999999</v>
      </c>
      <c r="R391" s="146">
        <f>+R388-R390</f>
        <v>84928.53999999998</v>
      </c>
      <c r="S391" s="119"/>
      <c r="T391" s="119"/>
      <c r="U391" s="290">
        <f>+U388-U390</f>
        <v>106160.66999999998</v>
      </c>
      <c r="V391" s="317">
        <f>+V388-V390</f>
        <v>0</v>
      </c>
      <c r="W391" s="119"/>
      <c r="X391" s="119"/>
      <c r="Y391" s="317">
        <f>+Y388-Y390</f>
        <v>0</v>
      </c>
      <c r="AL391" s="297"/>
    </row>
    <row r="392" spans="2:38" ht="15.75">
      <c r="B392" s="63"/>
      <c r="C392" s="63"/>
      <c r="D392" s="63"/>
      <c r="E392" s="63"/>
      <c r="F392" s="63"/>
      <c r="G392" s="63"/>
      <c r="H392" s="64"/>
      <c r="I392" s="64"/>
      <c r="J392" s="64"/>
      <c r="K392" s="116"/>
      <c r="L392" s="116"/>
      <c r="M392" s="116"/>
      <c r="N392" s="116"/>
      <c r="O392" s="132"/>
      <c r="P392" s="132"/>
      <c r="Q392" s="116"/>
      <c r="R392" s="116"/>
      <c r="S392" s="119"/>
      <c r="T392" s="119"/>
      <c r="U392" s="119"/>
      <c r="V392" s="118"/>
      <c r="W392" s="119"/>
      <c r="X392" s="119"/>
      <c r="Y392" s="118"/>
      <c r="AL392" s="297"/>
    </row>
    <row r="393" spans="2:38" ht="15.75">
      <c r="B393" s="63"/>
      <c r="C393" s="63"/>
      <c r="D393" s="63"/>
      <c r="E393" s="63"/>
      <c r="F393" s="63"/>
      <c r="G393" s="63"/>
      <c r="H393" s="64"/>
      <c r="I393" s="64"/>
      <c r="J393" s="64"/>
      <c r="K393" s="116"/>
      <c r="L393" s="116"/>
      <c r="M393" s="116"/>
      <c r="N393" s="116"/>
      <c r="O393" s="614" t="s">
        <v>660</v>
      </c>
      <c r="P393" s="614"/>
      <c r="Q393" s="614"/>
      <c r="R393" s="225"/>
      <c r="S393" s="119"/>
      <c r="T393" s="119"/>
      <c r="U393" s="119"/>
      <c r="V393" s="118"/>
      <c r="W393" s="119"/>
      <c r="X393" s="119"/>
      <c r="Y393" s="118"/>
      <c r="AL393" s="297"/>
    </row>
    <row r="394" spans="2:38" ht="18.75">
      <c r="B394" s="63"/>
      <c r="C394" s="63"/>
      <c r="D394" s="63"/>
      <c r="E394" s="63"/>
      <c r="F394" s="63"/>
      <c r="G394" s="63"/>
      <c r="H394" s="64"/>
      <c r="I394" s="64"/>
      <c r="J394" s="64"/>
      <c r="K394" s="116"/>
      <c r="L394" s="116"/>
      <c r="M394" s="116"/>
      <c r="N394" s="116"/>
      <c r="O394" s="114">
        <v>2022</v>
      </c>
      <c r="P394" s="114">
        <v>2021</v>
      </c>
      <c r="Q394" s="114">
        <v>2020</v>
      </c>
      <c r="R394" s="114">
        <v>2019</v>
      </c>
      <c r="S394" s="119"/>
      <c r="T394" s="119"/>
      <c r="U394" s="119"/>
      <c r="V394" s="118"/>
      <c r="W394" s="119"/>
      <c r="X394" s="119"/>
      <c r="Y394" s="118"/>
      <c r="AL394" s="297"/>
    </row>
    <row r="395" spans="2:38" ht="18.75">
      <c r="B395" s="113" t="s">
        <v>8</v>
      </c>
      <c r="C395" s="12"/>
      <c r="D395" s="12"/>
      <c r="E395" s="12"/>
      <c r="F395" s="12"/>
      <c r="G395" s="12"/>
      <c r="H395" s="10">
        <f>822411.64+346844.92+33602+19998.64</f>
        <v>1222857.2</v>
      </c>
      <c r="I395" s="6"/>
      <c r="J395" s="6"/>
      <c r="O395" s="97">
        <f>688589.8+114332.48+42998.18+24279.64</f>
        <v>870200.1000000001</v>
      </c>
      <c r="P395" s="97">
        <f>563671.95+114332.48+42998.18+19998.64</f>
        <v>741001.25</v>
      </c>
      <c r="Q395" s="97">
        <f>534423.41+114332.48+42998.18+19998.64</f>
        <v>711752.7100000001</v>
      </c>
      <c r="R395" s="97">
        <f>1189173.65+356176.74+61636.7+22331.59</f>
        <v>1629318.68</v>
      </c>
      <c r="U395" s="311">
        <f>1094519+346844.92+42690.34+19998.64</f>
        <v>1504052.9</v>
      </c>
      <c r="V395" s="311">
        <f>1094519+346844.92+42690.34+19998.64</f>
        <v>1504052.9</v>
      </c>
      <c r="Y395" s="311">
        <f>955425.88+346844.92+42690.34+19998.64</f>
        <v>1364959.78</v>
      </c>
      <c r="AL395" s="297">
        <f>+O395-P395</f>
        <v>129198.8500000001</v>
      </c>
    </row>
    <row r="396" spans="1:38" ht="16.5">
      <c r="A396" s="149"/>
      <c r="B396" s="63" t="s">
        <v>26</v>
      </c>
      <c r="C396" s="63"/>
      <c r="D396" s="63"/>
      <c r="E396" s="63"/>
      <c r="F396" s="63"/>
      <c r="G396" s="63"/>
      <c r="H396" s="72"/>
      <c r="I396" s="72"/>
      <c r="J396" s="72"/>
      <c r="K396" s="153"/>
      <c r="L396" s="116"/>
      <c r="M396" s="116"/>
      <c r="N396" s="116"/>
      <c r="O396" s="132"/>
      <c r="P396" s="132"/>
      <c r="Q396" s="116"/>
      <c r="R396" s="116"/>
      <c r="S396" s="119"/>
      <c r="T396" s="119"/>
      <c r="U396" s="119"/>
      <c r="V396" s="118"/>
      <c r="W396" s="119"/>
      <c r="X396" s="119"/>
      <c r="Y396" s="118"/>
      <c r="AL396" s="297"/>
    </row>
    <row r="397" spans="2:40" ht="17.25" thickBot="1">
      <c r="B397" s="63" t="s">
        <v>123</v>
      </c>
      <c r="C397" s="63"/>
      <c r="D397" s="63"/>
      <c r="E397" s="63"/>
      <c r="F397" s="63"/>
      <c r="G397" s="63"/>
      <c r="H397" s="66">
        <v>796240.79</v>
      </c>
      <c r="I397" s="76"/>
      <c r="J397" s="76"/>
      <c r="K397" s="116"/>
      <c r="L397" s="116"/>
      <c r="M397" s="116"/>
      <c r="N397" s="116"/>
      <c r="O397" s="89">
        <f>+'Depreciación Acumulada'!E164</f>
        <v>654659.7400000001</v>
      </c>
      <c r="P397" s="89">
        <f>+'Depreciación Acumulada'!F164</f>
        <v>514748.54</v>
      </c>
      <c r="Q397" s="89">
        <f>+'Depreciación Acumulada'!G164</f>
        <v>410123.08999999997</v>
      </c>
      <c r="R397" s="89">
        <f>+'Depreciación Acumulada'!H164</f>
        <v>1370037.26</v>
      </c>
      <c r="S397" s="119"/>
      <c r="T397" s="119"/>
      <c r="U397" s="296">
        <v>1251003.58</v>
      </c>
      <c r="V397" s="296">
        <v>1131969.9</v>
      </c>
      <c r="W397" s="119"/>
      <c r="X397" s="119"/>
      <c r="Y397" s="296">
        <v>954887.35</v>
      </c>
      <c r="AL397" s="297"/>
      <c r="AN397" s="297">
        <f>+O397-P397</f>
        <v>139911.20000000013</v>
      </c>
    </row>
    <row r="398" spans="2:38" ht="18.75">
      <c r="B398" s="113" t="s">
        <v>124</v>
      </c>
      <c r="C398" s="63"/>
      <c r="D398" s="63"/>
      <c r="E398" s="63"/>
      <c r="F398" s="63"/>
      <c r="G398" s="63"/>
      <c r="H398" s="72">
        <f>+H395-H397</f>
        <v>426616.4099999999</v>
      </c>
      <c r="I398" s="72"/>
      <c r="J398" s="72"/>
      <c r="K398" s="116"/>
      <c r="L398" s="116"/>
      <c r="M398" s="116"/>
      <c r="N398" s="116"/>
      <c r="O398" s="127">
        <f>+O395-O397</f>
        <v>215540.36</v>
      </c>
      <c r="P398" s="127">
        <f>+P395-P397</f>
        <v>226252.71000000002</v>
      </c>
      <c r="Q398" s="127">
        <f>+Q395-Q397</f>
        <v>301629.6200000001</v>
      </c>
      <c r="R398" s="127">
        <f>+R395-R397</f>
        <v>259281.41999999993</v>
      </c>
      <c r="S398" s="119"/>
      <c r="T398" s="119"/>
      <c r="U398" s="128">
        <f>+U395-U397</f>
        <v>253049.31999999983</v>
      </c>
      <c r="V398" s="128">
        <f>+V395-V397</f>
        <v>372083</v>
      </c>
      <c r="W398" s="119"/>
      <c r="X398" s="119"/>
      <c r="Y398" s="128">
        <f>+Y395-Y397</f>
        <v>410072.43000000005</v>
      </c>
      <c r="AL398" s="297"/>
    </row>
    <row r="399" spans="2:38" ht="15.75">
      <c r="B399" s="63"/>
      <c r="C399" s="63"/>
      <c r="D399" s="63"/>
      <c r="E399" s="63"/>
      <c r="F399" s="63"/>
      <c r="G399" s="63"/>
      <c r="H399" s="64"/>
      <c r="I399" s="64"/>
      <c r="J399" s="64"/>
      <c r="K399" s="116"/>
      <c r="L399" s="116"/>
      <c r="M399" s="116"/>
      <c r="N399" s="116"/>
      <c r="O399" s="132"/>
      <c r="P399" s="132"/>
      <c r="Q399" s="116"/>
      <c r="R399" s="116"/>
      <c r="S399" s="119"/>
      <c r="T399" s="119"/>
      <c r="U399" s="119"/>
      <c r="V399" s="118"/>
      <c r="W399" s="119"/>
      <c r="X399" s="119"/>
      <c r="Y399" s="118"/>
      <c r="AL399" s="297"/>
    </row>
    <row r="400" spans="2:25" ht="15.75">
      <c r="B400" s="63"/>
      <c r="C400" s="63"/>
      <c r="D400" s="63"/>
      <c r="E400" s="63"/>
      <c r="F400" s="63"/>
      <c r="G400" s="63"/>
      <c r="H400" s="64"/>
      <c r="I400" s="64"/>
      <c r="J400" s="64"/>
      <c r="K400" s="116"/>
      <c r="L400" s="116"/>
      <c r="M400" s="116"/>
      <c r="N400" s="116"/>
      <c r="O400" s="132"/>
      <c r="P400" s="132"/>
      <c r="Q400" s="116"/>
      <c r="R400" s="116"/>
      <c r="S400" s="119"/>
      <c r="T400" s="119"/>
      <c r="U400" s="119"/>
      <c r="V400" s="118"/>
      <c r="W400" s="119"/>
      <c r="X400" s="119"/>
      <c r="Y400" s="118"/>
    </row>
    <row r="401" spans="2:25" ht="18.75">
      <c r="B401" s="113" t="s">
        <v>142</v>
      </c>
      <c r="C401" s="12"/>
      <c r="D401" s="12"/>
      <c r="E401" s="12"/>
      <c r="F401" s="12"/>
      <c r="G401" s="12"/>
      <c r="H401" s="6"/>
      <c r="I401" s="6"/>
      <c r="J401" s="6"/>
      <c r="O401" s="614" t="s">
        <v>660</v>
      </c>
      <c r="P401" s="614"/>
      <c r="Q401" s="614"/>
      <c r="R401" s="225"/>
      <c r="V401" s="298"/>
      <c r="Y401" s="298"/>
    </row>
    <row r="402" spans="2:25" ht="18.75">
      <c r="B402" s="12"/>
      <c r="C402" s="12"/>
      <c r="D402" s="12"/>
      <c r="E402" s="12"/>
      <c r="F402" s="12"/>
      <c r="G402" s="12"/>
      <c r="H402" s="6"/>
      <c r="I402" s="6"/>
      <c r="J402" s="6"/>
      <c r="O402" s="114">
        <v>2022</v>
      </c>
      <c r="P402" s="114">
        <v>2021</v>
      </c>
      <c r="Q402" s="114">
        <v>2020</v>
      </c>
      <c r="R402" s="114">
        <v>2019</v>
      </c>
      <c r="V402" s="298"/>
      <c r="Y402" s="298"/>
    </row>
    <row r="403" spans="2:25" ht="15.75" hidden="1">
      <c r="B403" s="63" t="s">
        <v>17</v>
      </c>
      <c r="C403" s="63"/>
      <c r="D403" s="63"/>
      <c r="E403" s="63"/>
      <c r="F403" s="63"/>
      <c r="G403" s="63"/>
      <c r="H403" s="64">
        <v>777970.4</v>
      </c>
      <c r="I403" s="64"/>
      <c r="J403" s="64"/>
      <c r="K403" s="116"/>
      <c r="L403" s="116"/>
      <c r="M403" s="116"/>
      <c r="N403" s="116"/>
      <c r="O403" s="132"/>
      <c r="P403" s="132"/>
      <c r="Q403" s="70">
        <v>0</v>
      </c>
      <c r="R403" s="70">
        <v>777970.4</v>
      </c>
      <c r="S403" s="119"/>
      <c r="T403" s="119"/>
      <c r="U403" s="118">
        <v>777970.4</v>
      </c>
      <c r="V403" s="118">
        <v>777970.4</v>
      </c>
      <c r="W403" s="119"/>
      <c r="X403" s="119"/>
      <c r="Y403" s="118">
        <v>777970.4</v>
      </c>
    </row>
    <row r="404" spans="2:25" ht="15.75" hidden="1">
      <c r="B404" s="63" t="s">
        <v>18</v>
      </c>
      <c r="C404" s="63"/>
      <c r="D404" s="63"/>
      <c r="E404" s="63"/>
      <c r="F404" s="63"/>
      <c r="G404" s="63"/>
      <c r="H404" s="64">
        <v>167902</v>
      </c>
      <c r="I404" s="64"/>
      <c r="J404" s="64"/>
      <c r="K404" s="116"/>
      <c r="L404" s="116"/>
      <c r="M404" s="116"/>
      <c r="N404" s="116"/>
      <c r="O404" s="132"/>
      <c r="P404" s="132"/>
      <c r="Q404" s="70">
        <v>0</v>
      </c>
      <c r="R404" s="70">
        <v>167902</v>
      </c>
      <c r="S404" s="119"/>
      <c r="T404" s="119"/>
      <c r="U404" s="118">
        <v>167902</v>
      </c>
      <c r="V404" s="118">
        <v>167902</v>
      </c>
      <c r="W404" s="119"/>
      <c r="X404" s="119"/>
      <c r="Y404" s="118">
        <v>167902</v>
      </c>
    </row>
    <row r="405" spans="2:25" ht="15.75" hidden="1">
      <c r="B405" s="63" t="s">
        <v>19</v>
      </c>
      <c r="C405" s="63"/>
      <c r="D405" s="63"/>
      <c r="E405" s="63"/>
      <c r="F405" s="63"/>
      <c r="G405" s="63"/>
      <c r="H405" s="65">
        <v>164402</v>
      </c>
      <c r="I405" s="65"/>
      <c r="J405" s="65"/>
      <c r="K405" s="116"/>
      <c r="L405" s="116"/>
      <c r="M405" s="116"/>
      <c r="N405" s="116"/>
      <c r="O405" s="132"/>
      <c r="P405" s="132"/>
      <c r="Q405" s="70">
        <v>0</v>
      </c>
      <c r="R405" s="70">
        <v>164402</v>
      </c>
      <c r="S405" s="119"/>
      <c r="T405" s="119"/>
      <c r="U405" s="118">
        <v>164402</v>
      </c>
      <c r="V405" s="118">
        <v>164402</v>
      </c>
      <c r="W405" s="119"/>
      <c r="X405" s="119"/>
      <c r="Y405" s="118">
        <v>164402</v>
      </c>
    </row>
    <row r="406" spans="2:25" ht="15.75" hidden="1">
      <c r="B406" s="63" t="s">
        <v>256</v>
      </c>
      <c r="C406" s="63"/>
      <c r="D406" s="63"/>
      <c r="E406" s="63"/>
      <c r="F406" s="63"/>
      <c r="G406" s="63"/>
      <c r="H406" s="65">
        <v>56602.57</v>
      </c>
      <c r="I406" s="65"/>
      <c r="J406" s="65"/>
      <c r="K406" s="116"/>
      <c r="L406" s="116"/>
      <c r="M406" s="116"/>
      <c r="N406" s="116"/>
      <c r="O406" s="132"/>
      <c r="P406" s="132"/>
      <c r="Q406" s="70">
        <v>0</v>
      </c>
      <c r="R406" s="70">
        <v>190550.27</v>
      </c>
      <c r="S406" s="119"/>
      <c r="T406" s="119"/>
      <c r="U406" s="118">
        <v>190550.27</v>
      </c>
      <c r="V406" s="118">
        <v>56602.57</v>
      </c>
      <c r="W406" s="119"/>
      <c r="X406" s="119"/>
      <c r="Y406" s="118">
        <v>56602.57</v>
      </c>
    </row>
    <row r="407" spans="2:41" s="172" customFormat="1" ht="15.75">
      <c r="B407" s="63" t="s">
        <v>907</v>
      </c>
      <c r="C407" s="63"/>
      <c r="D407" s="63"/>
      <c r="E407" s="63"/>
      <c r="F407" s="63"/>
      <c r="G407" s="63"/>
      <c r="H407" s="65"/>
      <c r="I407" s="65"/>
      <c r="J407" s="65"/>
      <c r="K407" s="132"/>
      <c r="L407" s="132"/>
      <c r="M407" s="132"/>
      <c r="N407" s="132"/>
      <c r="O407" s="70">
        <v>58882</v>
      </c>
      <c r="P407" s="132"/>
      <c r="Q407" s="70"/>
      <c r="R407" s="70"/>
      <c r="S407" s="119"/>
      <c r="T407" s="119"/>
      <c r="U407" s="118"/>
      <c r="V407" s="118"/>
      <c r="W407" s="119"/>
      <c r="X407" s="119"/>
      <c r="Y407" s="118"/>
      <c r="Z407" s="129"/>
      <c r="AA407" s="129"/>
      <c r="AB407" s="129"/>
      <c r="AC407" s="129"/>
      <c r="AD407" s="129"/>
      <c r="AE407" s="129"/>
      <c r="AF407" s="129"/>
      <c r="AL407" s="129"/>
      <c r="AM407" s="344"/>
      <c r="AN407" s="129"/>
      <c r="AO407" s="129"/>
    </row>
    <row r="408" spans="2:25" ht="16.5" thickBot="1">
      <c r="B408" s="63" t="s">
        <v>143</v>
      </c>
      <c r="C408" s="63"/>
      <c r="D408" s="63"/>
      <c r="E408" s="63"/>
      <c r="F408" s="63"/>
      <c r="G408" s="63"/>
      <c r="H408" s="66">
        <v>226896</v>
      </c>
      <c r="I408" s="65"/>
      <c r="J408" s="65"/>
      <c r="K408" s="116"/>
      <c r="L408" s="116"/>
      <c r="M408" s="116"/>
      <c r="N408" s="116"/>
      <c r="O408" s="71">
        <v>226896</v>
      </c>
      <c r="P408" s="71">
        <v>226896</v>
      </c>
      <c r="Q408" s="71">
        <v>226896</v>
      </c>
      <c r="R408" s="71">
        <v>226896</v>
      </c>
      <c r="S408" s="119"/>
      <c r="T408" s="119"/>
      <c r="U408" s="296">
        <v>226896</v>
      </c>
      <c r="V408" s="296">
        <v>226896</v>
      </c>
      <c r="W408" s="119"/>
      <c r="X408" s="119"/>
      <c r="Y408" s="296">
        <v>226896</v>
      </c>
    </row>
    <row r="409" spans="2:41" s="172" customFormat="1" ht="15.75">
      <c r="B409" s="63"/>
      <c r="C409" s="63"/>
      <c r="D409" s="63"/>
      <c r="E409" s="63"/>
      <c r="F409" s="63"/>
      <c r="G409" s="63"/>
      <c r="H409" s="65"/>
      <c r="I409" s="65"/>
      <c r="J409" s="65"/>
      <c r="K409" s="132"/>
      <c r="L409" s="132"/>
      <c r="M409" s="132"/>
      <c r="N409" s="132"/>
      <c r="O409" s="187"/>
      <c r="P409" s="187"/>
      <c r="Q409" s="187"/>
      <c r="R409" s="187"/>
      <c r="S409" s="119"/>
      <c r="T409" s="119"/>
      <c r="U409" s="314"/>
      <c r="V409" s="314"/>
      <c r="W409" s="119"/>
      <c r="X409" s="119"/>
      <c r="Y409" s="314"/>
      <c r="Z409" s="129"/>
      <c r="AA409" s="129"/>
      <c r="AB409" s="129"/>
      <c r="AC409" s="129"/>
      <c r="AD409" s="129"/>
      <c r="AE409" s="129"/>
      <c r="AF409" s="129"/>
      <c r="AL409" s="129"/>
      <c r="AM409" s="344"/>
      <c r="AN409" s="129"/>
      <c r="AO409" s="129"/>
    </row>
    <row r="410" spans="2:38" ht="16.5">
      <c r="B410" s="63"/>
      <c r="C410" s="63"/>
      <c r="D410" s="63"/>
      <c r="E410" s="63"/>
      <c r="F410" s="63"/>
      <c r="G410" s="63"/>
      <c r="H410" s="72">
        <f>SUM(H402:H408)</f>
        <v>1393772.97</v>
      </c>
      <c r="I410" s="72"/>
      <c r="J410" s="72"/>
      <c r="K410" s="116"/>
      <c r="L410" s="116"/>
      <c r="M410" s="116"/>
      <c r="N410" s="116"/>
      <c r="O410" s="127">
        <f>SUM(O407:O409)</f>
        <v>285778</v>
      </c>
      <c r="P410" s="127">
        <f>SUM(P403:P408)</f>
        <v>226896</v>
      </c>
      <c r="Q410" s="127">
        <f>SUM(Q403:Q408)</f>
        <v>226896</v>
      </c>
      <c r="R410" s="127">
        <f>SUM(R403:R408)</f>
        <v>1527720.67</v>
      </c>
      <c r="S410" s="119"/>
      <c r="T410" s="119"/>
      <c r="U410" s="128">
        <f>SUM(U403:U408)</f>
        <v>1527720.67</v>
      </c>
      <c r="V410" s="128">
        <f>SUM(V403:V408)</f>
        <v>1393772.97</v>
      </c>
      <c r="W410" s="119"/>
      <c r="X410" s="119"/>
      <c r="Y410" s="128">
        <f>SUM(Y403:Y408)</f>
        <v>1393772.97</v>
      </c>
      <c r="AL410" s="297">
        <f>+O410-P410</f>
        <v>58882</v>
      </c>
    </row>
    <row r="411" spans="1:25" ht="16.5">
      <c r="A411" s="149"/>
      <c r="B411" s="63" t="s">
        <v>26</v>
      </c>
      <c r="C411" s="63"/>
      <c r="D411" s="63"/>
      <c r="E411" s="63"/>
      <c r="F411" s="63"/>
      <c r="G411" s="63"/>
      <c r="H411" s="72"/>
      <c r="I411" s="72"/>
      <c r="J411" s="72"/>
      <c r="K411" s="116"/>
      <c r="L411" s="116"/>
      <c r="M411" s="116"/>
      <c r="N411" s="116"/>
      <c r="O411" s="132"/>
      <c r="P411" s="132"/>
      <c r="Q411" s="116"/>
      <c r="R411" s="116"/>
      <c r="S411" s="119"/>
      <c r="T411" s="119"/>
      <c r="U411" s="119"/>
      <c r="V411" s="118"/>
      <c r="W411" s="119"/>
      <c r="X411" s="119"/>
      <c r="Y411" s="118"/>
    </row>
    <row r="412" spans="2:40" ht="16.5" thickBot="1">
      <c r="B412" s="63" t="s">
        <v>123</v>
      </c>
      <c r="C412" s="63"/>
      <c r="D412" s="63"/>
      <c r="E412" s="63"/>
      <c r="F412" s="63"/>
      <c r="G412" s="63"/>
      <c r="H412" s="66">
        <v>400108.77</v>
      </c>
      <c r="I412" s="65"/>
      <c r="J412" s="65"/>
      <c r="K412" s="116"/>
      <c r="L412" s="116"/>
      <c r="M412" s="116"/>
      <c r="N412" s="116"/>
      <c r="O412" s="89">
        <f>+'Depreciación Acumulada'!E178</f>
        <v>226896</v>
      </c>
      <c r="P412" s="89">
        <f>+'Depreciación Acumulada'!F178</f>
        <v>176758.53</v>
      </c>
      <c r="Q412" s="89">
        <f>+'Depreciación Acumulada'!G178</f>
        <v>176758.53</v>
      </c>
      <c r="R412" s="89">
        <f>+'Depreciación Acumulada'!H178</f>
        <v>501594.97</v>
      </c>
      <c r="S412" s="119"/>
      <c r="T412" s="119"/>
      <c r="U412" s="296">
        <v>470898.62</v>
      </c>
      <c r="V412" s="296">
        <v>440202.27</v>
      </c>
      <c r="W412" s="119"/>
      <c r="X412" s="119"/>
      <c r="Y412" s="296">
        <v>428410.05</v>
      </c>
      <c r="AN412" s="297">
        <f>+O412-P412</f>
        <v>50137.47</v>
      </c>
    </row>
    <row r="413" spans="2:25" ht="18.75">
      <c r="B413" s="113" t="s">
        <v>124</v>
      </c>
      <c r="C413" s="63"/>
      <c r="D413" s="63"/>
      <c r="E413" s="63"/>
      <c r="F413" s="63"/>
      <c r="G413" s="63"/>
      <c r="H413" s="76">
        <f>+H410-H412</f>
        <v>993664.2</v>
      </c>
      <c r="I413" s="76"/>
      <c r="J413" s="76"/>
      <c r="K413" s="116"/>
      <c r="L413" s="116"/>
      <c r="M413" s="116"/>
      <c r="N413" s="116"/>
      <c r="O413" s="127">
        <f>+O410-O412</f>
        <v>58882</v>
      </c>
      <c r="P413" s="127">
        <f>+P410-P412</f>
        <v>50137.47</v>
      </c>
      <c r="Q413" s="127">
        <f>+Q410-Q412</f>
        <v>50137.47</v>
      </c>
      <c r="R413" s="127">
        <f>+R410-R412</f>
        <v>1026125.7</v>
      </c>
      <c r="S413" s="119"/>
      <c r="T413" s="119"/>
      <c r="U413" s="128">
        <f>+U410-U412</f>
        <v>1056822.0499999998</v>
      </c>
      <c r="V413" s="128">
        <f>+V410-V412</f>
        <v>953570.7</v>
      </c>
      <c r="W413" s="119"/>
      <c r="X413" s="119"/>
      <c r="Y413" s="128">
        <f>+Y410-Y412</f>
        <v>965362.9199999999</v>
      </c>
    </row>
    <row r="414" spans="2:25" ht="15.75">
      <c r="B414" s="63"/>
      <c r="C414" s="63"/>
      <c r="D414" s="63"/>
      <c r="E414" s="63"/>
      <c r="F414" s="63"/>
      <c r="G414" s="63"/>
      <c r="H414" s="64"/>
      <c r="I414" s="64"/>
      <c r="J414" s="64"/>
      <c r="K414" s="116"/>
      <c r="L414" s="116"/>
      <c r="M414" s="116"/>
      <c r="N414" s="116"/>
      <c r="O414" s="132"/>
      <c r="P414" s="132"/>
      <c r="Q414" s="116"/>
      <c r="R414" s="116"/>
      <c r="S414" s="119"/>
      <c r="T414" s="119"/>
      <c r="U414" s="119"/>
      <c r="V414" s="118"/>
      <c r="W414" s="119"/>
      <c r="X414" s="119"/>
      <c r="Y414" s="118"/>
    </row>
    <row r="415" spans="2:25" ht="15">
      <c r="B415" s="12"/>
      <c r="C415" s="12"/>
      <c r="D415" s="12"/>
      <c r="E415" s="12"/>
      <c r="F415" s="12"/>
      <c r="G415" s="12"/>
      <c r="H415" s="6"/>
      <c r="I415" s="6"/>
      <c r="J415" s="6"/>
      <c r="O415" s="614" t="s">
        <v>660</v>
      </c>
      <c r="P415" s="614"/>
      <c r="Q415" s="614"/>
      <c r="R415" s="225"/>
      <c r="Y415" s="298"/>
    </row>
    <row r="416" spans="2:25" ht="18.75">
      <c r="B416" s="113" t="s">
        <v>144</v>
      </c>
      <c r="C416" s="12"/>
      <c r="D416" s="12"/>
      <c r="E416" s="12"/>
      <c r="F416" s="12"/>
      <c r="G416" s="12"/>
      <c r="H416" s="6"/>
      <c r="I416" s="6"/>
      <c r="J416" s="6"/>
      <c r="O416" s="114">
        <v>2022</v>
      </c>
      <c r="P416" s="114">
        <v>2021</v>
      </c>
      <c r="Q416" s="114">
        <v>2020</v>
      </c>
      <c r="R416" s="114">
        <v>2019</v>
      </c>
      <c r="Y416" s="298"/>
    </row>
    <row r="417" spans="2:25" ht="15.75">
      <c r="B417" s="63" t="s">
        <v>144</v>
      </c>
      <c r="C417" s="63"/>
      <c r="D417" s="63"/>
      <c r="E417" s="63"/>
      <c r="F417" s="63"/>
      <c r="G417" s="63"/>
      <c r="H417" s="64">
        <v>2094464.16</v>
      </c>
      <c r="I417" s="64"/>
      <c r="J417" s="64"/>
      <c r="K417" s="116"/>
      <c r="L417" s="116"/>
      <c r="M417" s="116"/>
      <c r="N417" s="116"/>
      <c r="O417" s="70">
        <v>1667816.53</v>
      </c>
      <c r="P417" s="70">
        <v>1667816.53</v>
      </c>
      <c r="Q417" s="70">
        <v>1667816.53</v>
      </c>
      <c r="R417" s="70">
        <v>2094464.16</v>
      </c>
      <c r="S417" s="119"/>
      <c r="T417" s="119"/>
      <c r="U417" s="118">
        <v>2094464.16</v>
      </c>
      <c r="V417" s="118">
        <v>2094464.16</v>
      </c>
      <c r="W417" s="119"/>
      <c r="X417" s="119"/>
      <c r="Y417" s="118">
        <v>2094464.16</v>
      </c>
    </row>
    <row r="418" spans="23:25" ht="15.75" hidden="1">
      <c r="W418" s="119"/>
      <c r="X418" s="119"/>
      <c r="Y418" s="118">
        <v>965181.39</v>
      </c>
    </row>
    <row r="419" spans="2:25" ht="16.5" thickBot="1">
      <c r="B419" s="63" t="s">
        <v>146</v>
      </c>
      <c r="C419" s="63"/>
      <c r="D419" s="63"/>
      <c r="E419" s="63"/>
      <c r="F419" s="63"/>
      <c r="G419" s="63"/>
      <c r="H419" s="66">
        <f>1915816.48+1682731.77</f>
        <v>3598548.25</v>
      </c>
      <c r="I419" s="65"/>
      <c r="J419" s="65"/>
      <c r="K419" s="116"/>
      <c r="L419" s="116"/>
      <c r="M419" s="116"/>
      <c r="N419" s="116"/>
      <c r="O419" s="71">
        <f>1207529.25+513761.24</f>
        <v>1721290.49</v>
      </c>
      <c r="P419" s="71">
        <f>1207529.25+241007.5</f>
        <v>1448536.75</v>
      </c>
      <c r="Q419" s="71">
        <f>1207529.25+148712.92</f>
        <v>1356242.17</v>
      </c>
      <c r="R419" s="71">
        <f>1915816.48+2331459.17</f>
        <v>4247275.65</v>
      </c>
      <c r="S419" s="119"/>
      <c r="T419" s="119"/>
      <c r="U419" s="296">
        <f>1915816.48+2102119.99</f>
        <v>4017936.47</v>
      </c>
      <c r="V419" s="296">
        <f>1915816.48+1942284.16</f>
        <v>3858100.6399999997</v>
      </c>
      <c r="W419" s="119"/>
      <c r="X419" s="119"/>
      <c r="Y419" s="296">
        <f>1915816.48+1809972.67</f>
        <v>3725789.15</v>
      </c>
    </row>
    <row r="420" spans="2:38" ht="16.5">
      <c r="B420" s="63"/>
      <c r="C420" s="63"/>
      <c r="D420" s="63"/>
      <c r="E420" s="63"/>
      <c r="F420" s="63"/>
      <c r="G420" s="63"/>
      <c r="H420" s="72">
        <f>SUM(H417:H419)</f>
        <v>5693012.41</v>
      </c>
      <c r="I420" s="72"/>
      <c r="J420" s="72"/>
      <c r="K420" s="116"/>
      <c r="L420" s="116"/>
      <c r="M420" s="116"/>
      <c r="N420" s="116"/>
      <c r="O420" s="154">
        <f>SUM(O417:O419)</f>
        <v>3389107.02</v>
      </c>
      <c r="P420" s="154">
        <f>SUM(P417:P419)</f>
        <v>3116353.2800000003</v>
      </c>
      <c r="Q420" s="154">
        <f>SUM(Q417:Q419)</f>
        <v>3024058.7</v>
      </c>
      <c r="R420" s="154">
        <f>SUM(R417:R419)</f>
        <v>6341739.8100000005</v>
      </c>
      <c r="S420" s="119"/>
      <c r="T420" s="119"/>
      <c r="U420" s="128">
        <f>SUM(U417:U419)</f>
        <v>6112400.63</v>
      </c>
      <c r="V420" s="128">
        <f>SUM(V417:V419)</f>
        <v>5952564.8</v>
      </c>
      <c r="W420" s="119"/>
      <c r="X420" s="119"/>
      <c r="Y420" s="128">
        <f>SUM(Y417:Y419)</f>
        <v>6785434.699999999</v>
      </c>
      <c r="AL420" s="297">
        <f>+O420-P420</f>
        <v>272753.73999999976</v>
      </c>
    </row>
    <row r="421" spans="2:25" ht="16.5">
      <c r="B421" s="63" t="s">
        <v>26</v>
      </c>
      <c r="C421" s="63"/>
      <c r="D421" s="63"/>
      <c r="E421" s="63"/>
      <c r="F421" s="63"/>
      <c r="G421" s="63"/>
      <c r="H421" s="72"/>
      <c r="I421" s="72"/>
      <c r="J421" s="72"/>
      <c r="K421" s="116"/>
      <c r="L421" s="116"/>
      <c r="M421" s="116"/>
      <c r="N421" s="116"/>
      <c r="O421" s="132"/>
      <c r="P421" s="132"/>
      <c r="Q421" s="116"/>
      <c r="R421" s="116"/>
      <c r="S421" s="119"/>
      <c r="T421" s="119"/>
      <c r="U421" s="119"/>
      <c r="V421" s="118"/>
      <c r="W421" s="119"/>
      <c r="X421" s="119"/>
      <c r="Y421" s="118"/>
    </row>
    <row r="422" spans="2:40" ht="16.5" thickBot="1">
      <c r="B422" s="63" t="s">
        <v>123</v>
      </c>
      <c r="C422" s="63"/>
      <c r="D422" s="63"/>
      <c r="E422" s="63"/>
      <c r="F422" s="63"/>
      <c r="G422" s="63"/>
      <c r="H422" s="66">
        <v>6378350.13</v>
      </c>
      <c r="I422" s="65"/>
      <c r="J422" s="65"/>
      <c r="K422" s="153"/>
      <c r="L422" s="153"/>
      <c r="M422" s="116"/>
      <c r="N422" s="116"/>
      <c r="O422" s="71">
        <f>+'Depreciación Acumulada'!E189</f>
        <v>2613032.13</v>
      </c>
      <c r="P422" s="71">
        <f>+'Depreciación Acumulada'!F189</f>
        <v>2292898.25</v>
      </c>
      <c r="Q422" s="71">
        <f>+'Depreciación Acumulada'!G189</f>
        <v>1981591.3499999999</v>
      </c>
      <c r="R422" s="71">
        <f>+'Depreciación Acumulada'!H189</f>
        <v>5904892.88</v>
      </c>
      <c r="S422" s="119"/>
      <c r="T422" s="119"/>
      <c r="U422" s="296">
        <v>5676476.21</v>
      </c>
      <c r="V422" s="296">
        <v>6339238.15</v>
      </c>
      <c r="W422" s="119"/>
      <c r="X422" s="119"/>
      <c r="Y422" s="296">
        <v>6687839.98</v>
      </c>
      <c r="AN422" s="297">
        <f>+O422-P422</f>
        <v>320133.8799999999</v>
      </c>
    </row>
    <row r="423" spans="2:40" ht="18.75">
      <c r="B423" s="113" t="s">
        <v>124</v>
      </c>
      <c r="C423" s="63"/>
      <c r="D423" s="63"/>
      <c r="E423" s="63"/>
      <c r="F423" s="63"/>
      <c r="G423" s="63"/>
      <c r="H423" s="76">
        <f>+H420-H422</f>
        <v>-685337.7199999997</v>
      </c>
      <c r="I423" s="76"/>
      <c r="J423" s="76"/>
      <c r="K423" s="116"/>
      <c r="L423" s="116"/>
      <c r="M423" s="116"/>
      <c r="N423" s="116"/>
      <c r="O423" s="154">
        <f>+O420-O422</f>
        <v>776074.8900000001</v>
      </c>
      <c r="P423" s="154">
        <f>+P420-P422</f>
        <v>823455.0300000003</v>
      </c>
      <c r="Q423" s="154">
        <f>+Q420-Q422</f>
        <v>1042467.3500000003</v>
      </c>
      <c r="R423" s="154">
        <f>+R420-R422</f>
        <v>436846.93000000063</v>
      </c>
      <c r="S423" s="119"/>
      <c r="T423" s="119"/>
      <c r="U423" s="128">
        <f>+U420-U422</f>
        <v>435924.4199999999</v>
      </c>
      <c r="V423" s="128">
        <f>+V420-V422</f>
        <v>-386673.35000000056</v>
      </c>
      <c r="W423" s="119"/>
      <c r="X423" s="119"/>
      <c r="Y423" s="128">
        <f>+Y420-Y422</f>
        <v>97594.71999999881</v>
      </c>
      <c r="AN423" s="297">
        <f>SUM(AN385:AN422)</f>
        <v>584495.01</v>
      </c>
    </row>
    <row r="424" spans="2:40" ht="16.5" thickBot="1">
      <c r="B424" s="63"/>
      <c r="C424" s="63"/>
      <c r="D424" s="63"/>
      <c r="E424" s="63"/>
      <c r="F424" s="63"/>
      <c r="G424" s="63"/>
      <c r="H424" s="66"/>
      <c r="I424" s="64"/>
      <c r="J424" s="64"/>
      <c r="K424" s="116"/>
      <c r="L424" s="116"/>
      <c r="M424" s="116"/>
      <c r="N424" s="116"/>
      <c r="O424" s="147"/>
      <c r="P424" s="147"/>
      <c r="Q424" s="147"/>
      <c r="R424" s="147"/>
      <c r="S424" s="119"/>
      <c r="T424" s="119"/>
      <c r="U424" s="323"/>
      <c r="V424" s="296"/>
      <c r="W424" s="119"/>
      <c r="X424" s="119"/>
      <c r="Y424" s="296"/>
      <c r="AN424" s="297">
        <f>+AN423-AN422</f>
        <v>264361.1300000001</v>
      </c>
    </row>
    <row r="425" spans="2:38" ht="21" thickBot="1">
      <c r="B425" s="186" t="s">
        <v>148</v>
      </c>
      <c r="C425" s="63"/>
      <c r="D425" s="63"/>
      <c r="E425" s="63"/>
      <c r="F425" s="63"/>
      <c r="G425" s="63"/>
      <c r="H425" s="74">
        <f>+H391+H398+H413+H423</f>
        <v>734942.8900000001</v>
      </c>
      <c r="I425" s="63"/>
      <c r="J425" s="63"/>
      <c r="K425" s="116"/>
      <c r="L425" s="116"/>
      <c r="M425" s="116"/>
      <c r="N425" s="116"/>
      <c r="O425" s="155">
        <f>+O391+O398+O413+O423</f>
        <v>1616665.62</v>
      </c>
      <c r="P425" s="155">
        <f>+P391+P398+P413+P423</f>
        <v>1174157.6700000004</v>
      </c>
      <c r="Q425" s="155">
        <f>+Q391+Q398+Q413+Q423</f>
        <v>1468546.9000000004</v>
      </c>
      <c r="R425" s="155">
        <f>+R391+R398+R413+R423</f>
        <v>1807182.5900000005</v>
      </c>
      <c r="S425" s="119"/>
      <c r="T425" s="119"/>
      <c r="U425" s="324">
        <f>+U391+U398+U413+U423</f>
        <v>1851956.4599999995</v>
      </c>
      <c r="V425" s="324">
        <f>+V391+V398+V413+V423</f>
        <v>938980.3499999994</v>
      </c>
      <c r="W425" s="119"/>
      <c r="X425" s="119"/>
      <c r="Y425" s="325">
        <f>+Y391+Y398+Y413+Y423</f>
        <v>1473030.069999999</v>
      </c>
      <c r="AL425" s="297">
        <f>SUM(AL388:AL424)</f>
        <v>1027002.96</v>
      </c>
    </row>
    <row r="426" spans="2:25" ht="15.75" thickTop="1">
      <c r="B426" s="12"/>
      <c r="C426" s="12"/>
      <c r="D426" s="12"/>
      <c r="E426" s="12"/>
      <c r="F426" s="12"/>
      <c r="G426" s="12"/>
      <c r="H426" s="12"/>
      <c r="I426" s="12"/>
      <c r="J426" s="12"/>
      <c r="Y426" s="298"/>
    </row>
    <row r="427" spans="2:25" ht="16.5">
      <c r="B427" s="75"/>
      <c r="C427" s="12"/>
      <c r="D427" s="12"/>
      <c r="E427" s="12"/>
      <c r="F427" s="12"/>
      <c r="G427" s="12"/>
      <c r="H427" s="12"/>
      <c r="I427" s="12"/>
      <c r="J427" s="12"/>
      <c r="Y427" s="298"/>
    </row>
    <row r="428" spans="2:25" ht="18.75">
      <c r="B428" s="113" t="s">
        <v>20</v>
      </c>
      <c r="C428" s="12"/>
      <c r="D428" s="12"/>
      <c r="E428" s="12"/>
      <c r="F428" s="12"/>
      <c r="G428" s="12"/>
      <c r="H428" s="12"/>
      <c r="I428" s="12"/>
      <c r="J428" s="12"/>
      <c r="O428" s="614" t="s">
        <v>660</v>
      </c>
      <c r="P428" s="614"/>
      <c r="Q428" s="614"/>
      <c r="R428" s="225"/>
      <c r="U428" s="289">
        <v>2018</v>
      </c>
      <c r="V428" s="307">
        <v>2017</v>
      </c>
      <c r="W428" s="312"/>
      <c r="X428" s="312"/>
      <c r="Y428" s="307">
        <v>2016</v>
      </c>
    </row>
    <row r="429" spans="2:25" ht="18.75">
      <c r="B429" s="63" t="s">
        <v>671</v>
      </c>
      <c r="C429" s="12"/>
      <c r="D429" s="12"/>
      <c r="E429" s="12"/>
      <c r="F429" s="12"/>
      <c r="G429" s="12"/>
      <c r="H429" s="12"/>
      <c r="I429" s="12"/>
      <c r="J429" s="12"/>
      <c r="O429" s="114">
        <v>2022</v>
      </c>
      <c r="P429" s="114">
        <v>2021</v>
      </c>
      <c r="Q429" s="114">
        <v>2020</v>
      </c>
      <c r="R429" s="114">
        <v>2019</v>
      </c>
      <c r="Y429" s="298"/>
    </row>
    <row r="430" spans="2:25" ht="15.75">
      <c r="B430" s="63" t="s">
        <v>700</v>
      </c>
      <c r="C430" s="12"/>
      <c r="D430" s="12"/>
      <c r="E430" s="12"/>
      <c r="F430" s="12"/>
      <c r="G430" s="12"/>
      <c r="H430" s="12"/>
      <c r="I430" s="12"/>
      <c r="J430" s="12"/>
      <c r="Y430" s="298"/>
    </row>
    <row r="431" spans="2:25" ht="16.5">
      <c r="B431" s="75"/>
      <c r="C431" s="63"/>
      <c r="D431" s="63"/>
      <c r="E431" s="63"/>
      <c r="F431" s="63"/>
      <c r="G431" s="63"/>
      <c r="H431" s="64"/>
      <c r="I431" s="63"/>
      <c r="J431" s="63"/>
      <c r="K431" s="116"/>
      <c r="L431" s="116"/>
      <c r="M431" s="116"/>
      <c r="N431" s="116"/>
      <c r="O431" s="132"/>
      <c r="P431" s="132"/>
      <c r="Q431" s="116"/>
      <c r="R431" s="116"/>
      <c r="S431" s="119"/>
      <c r="T431" s="119"/>
      <c r="U431" s="119"/>
      <c r="V431" s="119"/>
      <c r="W431" s="119"/>
      <c r="X431" s="119"/>
      <c r="Y431" s="118"/>
    </row>
    <row r="432" spans="2:25" ht="15.75">
      <c r="B432" s="63" t="s">
        <v>131</v>
      </c>
      <c r="C432" s="63"/>
      <c r="D432" s="63"/>
      <c r="E432" s="63"/>
      <c r="F432" s="63"/>
      <c r="G432" s="63"/>
      <c r="H432" s="64">
        <v>837000.31</v>
      </c>
      <c r="I432" s="63"/>
      <c r="J432" s="63"/>
      <c r="K432" s="116"/>
      <c r="L432" s="116"/>
      <c r="M432" s="116"/>
      <c r="N432" s="116"/>
      <c r="O432" s="70">
        <f>832000.31</f>
        <v>832000.31</v>
      </c>
      <c r="P432" s="70">
        <f>832000.31</f>
        <v>832000.31</v>
      </c>
      <c r="Q432" s="70">
        <f>832000.31</f>
        <v>832000.31</v>
      </c>
      <c r="R432" s="70">
        <v>837000.31</v>
      </c>
      <c r="S432" s="119"/>
      <c r="T432" s="119"/>
      <c r="U432" s="118">
        <v>837000.31</v>
      </c>
      <c r="V432" s="118">
        <v>837000.31</v>
      </c>
      <c r="W432" s="119"/>
      <c r="X432" s="119"/>
      <c r="Y432" s="118">
        <v>837000.31</v>
      </c>
    </row>
    <row r="433" spans="2:25" ht="15.75">
      <c r="B433" s="63" t="s">
        <v>136</v>
      </c>
      <c r="C433" s="63"/>
      <c r="D433" s="63"/>
      <c r="E433" s="63"/>
      <c r="F433" s="63"/>
      <c r="G433" s="63"/>
      <c r="H433" s="64"/>
      <c r="I433" s="63"/>
      <c r="J433" s="63"/>
      <c r="K433" s="116"/>
      <c r="L433" s="116"/>
      <c r="M433" s="116"/>
      <c r="N433" s="116"/>
      <c r="O433" s="70">
        <v>5000</v>
      </c>
      <c r="P433" s="70">
        <v>5000</v>
      </c>
      <c r="Q433" s="70">
        <v>5000</v>
      </c>
      <c r="R433" s="70"/>
      <c r="S433" s="119"/>
      <c r="T433" s="119"/>
      <c r="U433" s="118"/>
      <c r="V433" s="118"/>
      <c r="W433" s="119"/>
      <c r="X433" s="119"/>
      <c r="Y433" s="118"/>
    </row>
    <row r="434" spans="2:25" ht="16.5" thickBot="1">
      <c r="B434" s="63" t="s">
        <v>135</v>
      </c>
      <c r="C434" s="63"/>
      <c r="D434" s="63"/>
      <c r="E434" s="63"/>
      <c r="F434" s="63"/>
      <c r="G434" s="63"/>
      <c r="H434" s="66">
        <v>71344.5</v>
      </c>
      <c r="I434" s="63"/>
      <c r="J434" s="63"/>
      <c r="K434" s="116"/>
      <c r="L434" s="116"/>
      <c r="M434" s="116"/>
      <c r="N434" s="116"/>
      <c r="O434" s="71">
        <v>71344.5</v>
      </c>
      <c r="P434" s="71">
        <v>71344.5</v>
      </c>
      <c r="Q434" s="71">
        <v>71344.5</v>
      </c>
      <c r="R434" s="71">
        <v>71344.5</v>
      </c>
      <c r="S434" s="119"/>
      <c r="T434" s="119"/>
      <c r="U434" s="296">
        <v>71344.5</v>
      </c>
      <c r="V434" s="296">
        <v>71344.5</v>
      </c>
      <c r="W434" s="119"/>
      <c r="X434" s="119"/>
      <c r="Y434" s="296">
        <v>71344.5</v>
      </c>
    </row>
    <row r="435" spans="2:25" ht="16.5">
      <c r="B435" s="63"/>
      <c r="C435" s="63"/>
      <c r="D435" s="63"/>
      <c r="E435" s="63"/>
      <c r="F435" s="63"/>
      <c r="G435" s="63"/>
      <c r="H435" s="72">
        <f>SUM(H432:H434)</f>
        <v>908344.81</v>
      </c>
      <c r="I435" s="63"/>
      <c r="J435" s="63"/>
      <c r="K435" s="116"/>
      <c r="L435" s="116"/>
      <c r="M435" s="116"/>
      <c r="N435" s="116"/>
      <c r="O435" s="127">
        <f>SUM(O432:O434)</f>
        <v>908344.81</v>
      </c>
      <c r="P435" s="127">
        <f>SUM(P432:P434)</f>
        <v>908344.81</v>
      </c>
      <c r="Q435" s="127">
        <f>SUM(Q432:Q434)</f>
        <v>908344.81</v>
      </c>
      <c r="R435" s="127">
        <f>SUM(R432:R434)</f>
        <v>908344.81</v>
      </c>
      <c r="S435" s="119"/>
      <c r="T435" s="119"/>
      <c r="U435" s="128">
        <f>SUM(U432:U434)</f>
        <v>908344.81</v>
      </c>
      <c r="V435" s="128">
        <v>908344.81</v>
      </c>
      <c r="W435" s="119"/>
      <c r="X435" s="119"/>
      <c r="Y435" s="128">
        <f>SUM(Y432:Y434)</f>
        <v>908344.81</v>
      </c>
    </row>
    <row r="436" spans="2:25" ht="16.5">
      <c r="B436" s="63" t="s">
        <v>26</v>
      </c>
      <c r="C436" s="63"/>
      <c r="D436" s="63"/>
      <c r="E436" s="63"/>
      <c r="F436" s="63"/>
      <c r="G436" s="63"/>
      <c r="H436" s="72"/>
      <c r="I436" s="63"/>
      <c r="J436" s="63"/>
      <c r="K436" s="116"/>
      <c r="L436" s="116"/>
      <c r="M436" s="116"/>
      <c r="N436" s="116"/>
      <c r="O436" s="132"/>
      <c r="P436" s="132"/>
      <c r="Q436" s="116"/>
      <c r="R436" s="116"/>
      <c r="S436" s="119"/>
      <c r="T436" s="119"/>
      <c r="U436" s="119"/>
      <c r="V436" s="118"/>
      <c r="W436" s="119"/>
      <c r="X436" s="119"/>
      <c r="Y436" s="118"/>
    </row>
    <row r="437" spans="2:25" ht="17.25" thickBot="1">
      <c r="B437" s="63" t="s">
        <v>123</v>
      </c>
      <c r="C437" s="63"/>
      <c r="D437" s="63"/>
      <c r="E437" s="63"/>
      <c r="F437" s="63"/>
      <c r="G437" s="63"/>
      <c r="H437" s="77">
        <v>0</v>
      </c>
      <c r="I437" s="63"/>
      <c r="J437" s="63"/>
      <c r="K437" s="116"/>
      <c r="L437" s="116"/>
      <c r="M437" s="116"/>
      <c r="N437" s="116"/>
      <c r="O437" s="147"/>
      <c r="P437" s="147"/>
      <c r="Q437" s="147"/>
      <c r="R437" s="147"/>
      <c r="S437" s="119"/>
      <c r="T437" s="119"/>
      <c r="U437" s="323"/>
      <c r="V437" s="326">
        <v>0</v>
      </c>
      <c r="W437" s="119"/>
      <c r="X437" s="119"/>
      <c r="Y437" s="326">
        <v>0</v>
      </c>
    </row>
    <row r="438" spans="2:25" ht="16.5">
      <c r="B438" s="75" t="s">
        <v>124</v>
      </c>
      <c r="C438" s="63"/>
      <c r="D438" s="63"/>
      <c r="E438" s="63"/>
      <c r="F438" s="63"/>
      <c r="G438" s="63"/>
      <c r="H438" s="72">
        <f>+H435-H437</f>
        <v>908344.81</v>
      </c>
      <c r="I438" s="63"/>
      <c r="J438" s="63"/>
      <c r="K438" s="116"/>
      <c r="L438" s="116"/>
      <c r="M438" s="116"/>
      <c r="N438" s="116"/>
      <c r="O438" s="127">
        <f>+O435-O437</f>
        <v>908344.81</v>
      </c>
      <c r="P438" s="127">
        <f>+P435-P437</f>
        <v>908344.81</v>
      </c>
      <c r="Q438" s="127">
        <f>+Q435-Q437</f>
        <v>908344.81</v>
      </c>
      <c r="R438" s="127">
        <f>+R435-R437</f>
        <v>908344.81</v>
      </c>
      <c r="S438" s="119"/>
      <c r="T438" s="119"/>
      <c r="U438" s="317">
        <f>+U435-U437</f>
        <v>908344.81</v>
      </c>
      <c r="V438" s="317">
        <f>+V435-V437</f>
        <v>908344.81</v>
      </c>
      <c r="W438" s="119"/>
      <c r="X438" s="119"/>
      <c r="Y438" s="317">
        <f>+Y435-Y437</f>
        <v>908344.81</v>
      </c>
    </row>
    <row r="439" spans="2:25" ht="15.75" thickBot="1">
      <c r="B439" s="12"/>
      <c r="C439" s="12"/>
      <c r="D439" s="12"/>
      <c r="E439" s="12"/>
      <c r="F439" s="12"/>
      <c r="G439" s="12"/>
      <c r="H439" s="156"/>
      <c r="I439" s="12"/>
      <c r="J439" s="12"/>
      <c r="R439" s="58"/>
      <c r="U439" s="327"/>
      <c r="V439" s="319"/>
      <c r="Y439" s="319"/>
    </row>
    <row r="440" spans="2:25" ht="19.5" thickBot="1">
      <c r="B440" s="138" t="s">
        <v>631</v>
      </c>
      <c r="C440" s="157"/>
      <c r="D440" s="157"/>
      <c r="E440" s="157"/>
      <c r="F440" s="157"/>
      <c r="G440" s="157"/>
      <c r="H440" s="158" t="e">
        <f>+H295+#REF!+H374+H425+H438</f>
        <v>#REF!</v>
      </c>
      <c r="I440" s="12"/>
      <c r="J440" s="12"/>
      <c r="O440" s="207">
        <f>+O295+O374+O425+O438</f>
        <v>23822970.48</v>
      </c>
      <c r="P440" s="207">
        <f>+P295+P374+P425+P438</f>
        <v>21348848.5</v>
      </c>
      <c r="Q440" s="207">
        <f>+Q295+Q374+Q425+Q438</f>
        <v>22236332.560000006</v>
      </c>
      <c r="R440" s="74">
        <f>+R295+R374+R425+R438</f>
        <v>15728985.670000007</v>
      </c>
      <c r="U440" s="325">
        <f>+U295+U374+U425+U438</f>
        <v>12832933.419999998</v>
      </c>
      <c r="V440" s="325">
        <f>+V295+V374+V425+V438</f>
        <v>13742542.010000002</v>
      </c>
      <c r="Y440" s="325">
        <f>+Y295+Y374+Y425+Y438</f>
        <v>12305742.620000005</v>
      </c>
    </row>
    <row r="441" spans="2:25" ht="19.5" thickTop="1">
      <c r="B441" s="138"/>
      <c r="C441" s="157"/>
      <c r="D441" s="157"/>
      <c r="E441" s="157"/>
      <c r="F441" s="157"/>
      <c r="G441" s="157"/>
      <c r="H441" s="138"/>
      <c r="I441" s="12"/>
      <c r="J441" s="12"/>
      <c r="O441" s="508">
        <f>+O210+O231+O248+O266+O276+O292+O315+O329+O341+O354+O362+O371</f>
        <v>33619441.54</v>
      </c>
      <c r="P441" s="508">
        <f>+O208+O229+O246+O264+O274+O281+O313+O327+O339+O352+O359+O368+O435</f>
        <v>55825746.400000006</v>
      </c>
      <c r="V441" s="328"/>
      <c r="Y441" s="328"/>
    </row>
    <row r="442" spans="2:25" ht="18.75">
      <c r="B442" s="138"/>
      <c r="C442" s="157"/>
      <c r="D442" s="157"/>
      <c r="E442" s="157"/>
      <c r="F442" s="157"/>
      <c r="G442" s="157"/>
      <c r="H442" s="138"/>
      <c r="I442" s="12"/>
      <c r="J442" s="12"/>
      <c r="V442" s="328"/>
      <c r="Y442" s="328"/>
    </row>
    <row r="443" spans="2:25" ht="18.75">
      <c r="B443" s="113" t="s">
        <v>598</v>
      </c>
      <c r="C443" s="157"/>
      <c r="D443" s="157"/>
      <c r="E443" s="157"/>
      <c r="F443" s="157"/>
      <c r="G443" s="157"/>
      <c r="H443" s="138"/>
      <c r="I443" s="12"/>
      <c r="J443" s="12"/>
      <c r="V443" s="328"/>
      <c r="Y443" s="328"/>
    </row>
    <row r="444" spans="1:25" ht="20.25">
      <c r="A444" s="101"/>
      <c r="B444" s="186" t="s">
        <v>129</v>
      </c>
      <c r="C444" s="20"/>
      <c r="D444" s="20"/>
      <c r="E444" s="20"/>
      <c r="F444" s="20"/>
      <c r="G444" s="20"/>
      <c r="H444" s="20"/>
      <c r="I444" s="20"/>
      <c r="J444" s="20"/>
      <c r="K444" s="159"/>
      <c r="R444" s="225"/>
      <c r="U444" s="289">
        <v>2018</v>
      </c>
      <c r="V444" s="307">
        <v>2017</v>
      </c>
      <c r="W444" s="312"/>
      <c r="X444" s="312"/>
      <c r="Y444" s="307">
        <v>2016</v>
      </c>
    </row>
    <row r="445" spans="1:25" ht="18.75">
      <c r="A445" s="101"/>
      <c r="B445" s="63" t="s">
        <v>119</v>
      </c>
      <c r="C445" s="12"/>
      <c r="D445" s="12"/>
      <c r="E445" s="12"/>
      <c r="F445" s="12"/>
      <c r="G445" s="12"/>
      <c r="H445" s="12"/>
      <c r="I445" s="20"/>
      <c r="J445" s="20"/>
      <c r="K445" s="159"/>
      <c r="P445" s="114">
        <v>2021</v>
      </c>
      <c r="Q445" s="114">
        <v>2020</v>
      </c>
      <c r="R445" s="114">
        <v>2019</v>
      </c>
      <c r="Y445" s="298"/>
    </row>
    <row r="446" spans="1:25" ht="16.5">
      <c r="A446" s="101"/>
      <c r="B446" s="63" t="s">
        <v>699</v>
      </c>
      <c r="C446" s="12"/>
      <c r="D446" s="12"/>
      <c r="E446" s="12"/>
      <c r="F446" s="12"/>
      <c r="G446" s="12"/>
      <c r="H446" s="12"/>
      <c r="I446" s="20"/>
      <c r="J446" s="20"/>
      <c r="K446" s="159"/>
      <c r="Y446" s="298"/>
    </row>
    <row r="447" spans="2:25" ht="16.5">
      <c r="B447" s="75"/>
      <c r="C447" s="12"/>
      <c r="D447" s="12"/>
      <c r="E447" s="12"/>
      <c r="F447" s="12"/>
      <c r="G447" s="12"/>
      <c r="H447" s="6"/>
      <c r="I447" s="6"/>
      <c r="J447" s="6"/>
      <c r="Y447" s="298"/>
    </row>
    <row r="448" spans="2:25" ht="15.75">
      <c r="B448" s="63" t="s">
        <v>5</v>
      </c>
      <c r="C448" s="63"/>
      <c r="D448" s="63"/>
      <c r="E448" s="63"/>
      <c r="F448" s="63"/>
      <c r="G448" s="63"/>
      <c r="H448" s="64">
        <v>2395376.62</v>
      </c>
      <c r="I448" s="64"/>
      <c r="J448" s="64"/>
      <c r="K448" s="116"/>
      <c r="L448" s="116"/>
      <c r="M448" s="116"/>
      <c r="N448" s="116"/>
      <c r="O448" s="70">
        <v>7491856.61</v>
      </c>
      <c r="P448" s="70">
        <v>4527856.62</v>
      </c>
      <c r="Q448" s="70">
        <v>4527856.62</v>
      </c>
      <c r="R448" s="70">
        <v>4527856.62</v>
      </c>
      <c r="S448" s="119"/>
      <c r="T448" s="119"/>
      <c r="U448" s="118">
        <v>4527856.62</v>
      </c>
      <c r="V448" s="118">
        <v>4527856.62</v>
      </c>
      <c r="W448" s="119"/>
      <c r="X448" s="119"/>
      <c r="Y448" s="118">
        <v>2395376.62</v>
      </c>
    </row>
    <row r="449" spans="1:41" s="172" customFormat="1" ht="15.75">
      <c r="A449" s="172" t="s">
        <v>97</v>
      </c>
      <c r="B449" s="63" t="s">
        <v>689</v>
      </c>
      <c r="C449" s="63"/>
      <c r="D449" s="63"/>
      <c r="E449" s="63"/>
      <c r="F449" s="63"/>
      <c r="G449" s="63"/>
      <c r="H449" s="64"/>
      <c r="I449" s="64"/>
      <c r="J449" s="64"/>
      <c r="K449" s="132"/>
      <c r="L449" s="132"/>
      <c r="M449" s="132"/>
      <c r="N449" s="132"/>
      <c r="O449" s="70">
        <v>985420</v>
      </c>
      <c r="P449" s="70">
        <v>985420</v>
      </c>
      <c r="Q449" s="70"/>
      <c r="R449" s="70"/>
      <c r="S449" s="119"/>
      <c r="T449" s="119"/>
      <c r="U449" s="118"/>
      <c r="V449" s="118"/>
      <c r="W449" s="119"/>
      <c r="X449" s="119"/>
      <c r="Y449" s="118"/>
      <c r="Z449" s="129"/>
      <c r="AA449" s="129"/>
      <c r="AB449" s="129"/>
      <c r="AC449" s="129"/>
      <c r="AD449" s="129"/>
      <c r="AE449" s="129"/>
      <c r="AF449" s="129"/>
      <c r="AL449" s="129"/>
      <c r="AM449" s="344"/>
      <c r="AN449" s="129"/>
      <c r="AO449" s="129"/>
    </row>
    <row r="450" spans="2:25" ht="15.75">
      <c r="B450" s="63" t="s">
        <v>42</v>
      </c>
      <c r="C450" s="63"/>
      <c r="D450" s="63"/>
      <c r="E450" s="63"/>
      <c r="F450" s="63"/>
      <c r="G450" s="63"/>
      <c r="H450" s="64">
        <v>12420190.15</v>
      </c>
      <c r="I450" s="64"/>
      <c r="J450" s="64"/>
      <c r="K450" s="116"/>
      <c r="L450" s="116"/>
      <c r="M450" s="116"/>
      <c r="N450" s="116"/>
      <c r="O450" s="70">
        <v>22861645.15</v>
      </c>
      <c r="P450" s="70">
        <v>22861645.15</v>
      </c>
      <c r="Q450" s="70">
        <v>20224690.15</v>
      </c>
      <c r="R450" s="70">
        <v>20224690.15</v>
      </c>
      <c r="S450" s="119"/>
      <c r="T450" s="119"/>
      <c r="U450" s="118">
        <v>17156690.15</v>
      </c>
      <c r="V450" s="118">
        <v>12420190.15</v>
      </c>
      <c r="W450" s="119"/>
      <c r="X450" s="119"/>
      <c r="Y450" s="118">
        <v>12420190.15</v>
      </c>
    </row>
    <row r="451" spans="2:25" ht="15.75">
      <c r="B451" s="63" t="s">
        <v>6</v>
      </c>
      <c r="C451" s="63"/>
      <c r="D451" s="63"/>
      <c r="E451" s="63"/>
      <c r="F451" s="63"/>
      <c r="G451" s="63"/>
      <c r="H451" s="65">
        <v>681521.62</v>
      </c>
      <c r="I451" s="65"/>
      <c r="J451" s="65"/>
      <c r="K451" s="116"/>
      <c r="L451" s="116"/>
      <c r="M451" s="116"/>
      <c r="N451" s="116"/>
      <c r="O451" s="70">
        <f>534739.59+227112.03</f>
        <v>761851.62</v>
      </c>
      <c r="P451" s="70">
        <f>454409.59+227112.03</f>
        <v>681521.62</v>
      </c>
      <c r="Q451" s="70">
        <f>454409.59+227112.03</f>
        <v>681521.62</v>
      </c>
      <c r="R451" s="70">
        <v>681521.62</v>
      </c>
      <c r="S451" s="119"/>
      <c r="T451" s="119"/>
      <c r="U451" s="118">
        <v>681521.62</v>
      </c>
      <c r="V451" s="118">
        <v>681521.62</v>
      </c>
      <c r="W451" s="119"/>
      <c r="X451" s="119"/>
      <c r="Y451" s="118">
        <v>681521.62</v>
      </c>
    </row>
    <row r="452" spans="2:25" ht="16.5" thickBot="1">
      <c r="B452" s="63" t="s">
        <v>701</v>
      </c>
      <c r="C452" s="63"/>
      <c r="D452" s="63"/>
      <c r="E452" s="63"/>
      <c r="F452" s="63"/>
      <c r="G452" s="63"/>
      <c r="H452" s="66">
        <v>0</v>
      </c>
      <c r="I452" s="65"/>
      <c r="J452" s="65"/>
      <c r="K452" s="116"/>
      <c r="L452" s="116"/>
      <c r="M452" s="116"/>
      <c r="N452" s="116"/>
      <c r="O452" s="71">
        <v>1987733.8</v>
      </c>
      <c r="P452" s="71">
        <v>1987733.8</v>
      </c>
      <c r="Q452" s="147"/>
      <c r="R452" s="147"/>
      <c r="S452" s="119"/>
      <c r="T452" s="119"/>
      <c r="U452" s="323"/>
      <c r="V452" s="296"/>
      <c r="W452" s="119"/>
      <c r="X452" s="119"/>
      <c r="Y452" s="296"/>
    </row>
    <row r="453" spans="2:25" ht="16.5">
      <c r="B453" s="63"/>
      <c r="C453" s="63"/>
      <c r="D453" s="63"/>
      <c r="E453" s="63"/>
      <c r="F453" s="63"/>
      <c r="G453" s="63"/>
      <c r="H453" s="72">
        <f>SUM(H448:H452)</f>
        <v>15497088.389999999</v>
      </c>
      <c r="I453" s="72"/>
      <c r="J453" s="72"/>
      <c r="K453" s="116"/>
      <c r="L453" s="116"/>
      <c r="M453" s="116"/>
      <c r="N453" s="116"/>
      <c r="O453" s="127">
        <f>SUM(O448:O452)</f>
        <v>34088507.18</v>
      </c>
      <c r="P453" s="127">
        <f>SUM(P448:P452)</f>
        <v>31044177.19</v>
      </c>
      <c r="Q453" s="127">
        <f>SUM(Q448:Q452)</f>
        <v>25434068.39</v>
      </c>
      <c r="R453" s="127">
        <f>SUM(R448:R452)</f>
        <v>25434068.39</v>
      </c>
      <c r="S453" s="119"/>
      <c r="T453" s="119"/>
      <c r="U453" s="128">
        <f>SUM(U448:U452)</f>
        <v>22366068.39</v>
      </c>
      <c r="V453" s="128">
        <f>SUM(V448:V452)</f>
        <v>17629568.39</v>
      </c>
      <c r="W453" s="119"/>
      <c r="X453" s="119"/>
      <c r="Y453" s="128">
        <f>SUM(Y448:Y452)</f>
        <v>15497088.389999999</v>
      </c>
    </row>
    <row r="454" spans="2:25" ht="15.75">
      <c r="B454" s="63" t="s">
        <v>26</v>
      </c>
      <c r="C454" s="63"/>
      <c r="D454" s="63"/>
      <c r="E454" s="63"/>
      <c r="F454" s="63"/>
      <c r="G454" s="63"/>
      <c r="H454" s="64"/>
      <c r="I454" s="64"/>
      <c r="J454" s="64"/>
      <c r="K454" s="116"/>
      <c r="L454" s="116"/>
      <c r="M454" s="116"/>
      <c r="N454" s="116"/>
      <c r="O454" s="132"/>
      <c r="P454" s="132"/>
      <c r="Q454" s="116"/>
      <c r="R454" s="116"/>
      <c r="S454" s="119"/>
      <c r="T454" s="119"/>
      <c r="U454" s="119"/>
      <c r="V454" s="118"/>
      <c r="W454" s="119"/>
      <c r="X454" s="119"/>
      <c r="Y454" s="118"/>
    </row>
    <row r="455" spans="2:25" ht="16.5" thickBot="1">
      <c r="B455" s="63" t="s">
        <v>123</v>
      </c>
      <c r="C455" s="63"/>
      <c r="D455" s="63"/>
      <c r="E455" s="63"/>
      <c r="F455" s="63"/>
      <c r="G455" s="63"/>
      <c r="H455" s="66">
        <v>14593818.61</v>
      </c>
      <c r="I455" s="65"/>
      <c r="J455" s="65"/>
      <c r="K455" s="120"/>
      <c r="L455" s="120"/>
      <c r="M455" s="120"/>
      <c r="N455" s="120"/>
      <c r="O455" s="89">
        <f>+'Depreciación Acumulada'!E91</f>
        <v>21907071.28</v>
      </c>
      <c r="P455" s="89">
        <f>+'Depreciación Acumulada'!F91</f>
        <v>20452099.599999998</v>
      </c>
      <c r="Q455" s="89">
        <f>+'Depreciación Acumulada'!G91</f>
        <v>19079434.48</v>
      </c>
      <c r="R455" s="78">
        <f>+'Depreciación Acumulada'!H91</f>
        <v>17574744.319999997</v>
      </c>
      <c r="S455" s="290">
        <f>+R455-Q455</f>
        <v>-1504690.1600000039</v>
      </c>
      <c r="T455" s="290"/>
      <c r="U455" s="118">
        <v>16292353.49</v>
      </c>
      <c r="V455" s="118">
        <v>15009962.66</v>
      </c>
      <c r="W455" s="290"/>
      <c r="X455" s="290"/>
      <c r="Y455" s="118">
        <v>14695935.98</v>
      </c>
    </row>
    <row r="456" spans="2:25" ht="17.25" thickBot="1">
      <c r="B456" s="138" t="s">
        <v>632</v>
      </c>
      <c r="C456" s="63"/>
      <c r="D456" s="63"/>
      <c r="E456" s="63"/>
      <c r="F456" s="63"/>
      <c r="G456" s="63"/>
      <c r="H456" s="74">
        <f>+H453-H455</f>
        <v>903269.7799999993</v>
      </c>
      <c r="I456" s="75"/>
      <c r="J456" s="75"/>
      <c r="K456" s="116"/>
      <c r="L456" s="116"/>
      <c r="M456" s="116"/>
      <c r="N456" s="116"/>
      <c r="O456" s="207">
        <f>+O453-O455</f>
        <v>12181435.899999999</v>
      </c>
      <c r="P456" s="207">
        <f>+P453-P455</f>
        <v>10592077.590000004</v>
      </c>
      <c r="Q456" s="207">
        <f>+Q453-Q455</f>
        <v>6354633.91</v>
      </c>
      <c r="R456" s="207">
        <f>+R453-R455</f>
        <v>7859324.070000004</v>
      </c>
      <c r="S456" s="119"/>
      <c r="T456" s="119"/>
      <c r="U456" s="325">
        <f>+U453-U455</f>
        <v>6073714.9</v>
      </c>
      <c r="V456" s="325">
        <f>+V453-V455</f>
        <v>2619605.7300000004</v>
      </c>
      <c r="W456" s="119"/>
      <c r="X456" s="119"/>
      <c r="Y456" s="325">
        <f>+Y453-Y455</f>
        <v>801152.4099999983</v>
      </c>
    </row>
    <row r="457" spans="1:26" ht="19.5" thickTop="1">
      <c r="A457" s="55"/>
      <c r="B457" s="138"/>
      <c r="C457" s="157"/>
      <c r="D457" s="157"/>
      <c r="E457" s="157"/>
      <c r="F457" s="157"/>
      <c r="G457" s="157"/>
      <c r="H457" s="138"/>
      <c r="I457" s="160"/>
      <c r="J457" s="160"/>
      <c r="K457" s="55"/>
      <c r="L457" s="55"/>
      <c r="M457" s="55"/>
      <c r="N457" s="55"/>
      <c r="O457" s="56"/>
      <c r="P457" s="56"/>
      <c r="Q457" s="78"/>
      <c r="R457" s="55"/>
      <c r="S457" s="329"/>
      <c r="T457" s="329"/>
      <c r="U457" s="329"/>
      <c r="V457" s="328"/>
      <c r="W457" s="329"/>
      <c r="X457" s="329"/>
      <c r="Y457" s="328"/>
      <c r="Z457" s="329"/>
    </row>
    <row r="458" spans="1:41" s="172" customFormat="1" ht="18.75">
      <c r="A458" s="56"/>
      <c r="B458" s="176" t="s">
        <v>863</v>
      </c>
      <c r="C458" s="157"/>
      <c r="D458" s="157"/>
      <c r="E458" s="157"/>
      <c r="F458" s="157"/>
      <c r="G458" s="157"/>
      <c r="H458" s="138"/>
      <c r="I458" s="160"/>
      <c r="J458" s="160"/>
      <c r="K458" s="56"/>
      <c r="L458" s="56"/>
      <c r="M458" s="56"/>
      <c r="N458" s="56"/>
      <c r="O458" s="56"/>
      <c r="P458" s="56"/>
      <c r="Q458" s="230"/>
      <c r="R458" s="56"/>
      <c r="S458" s="329"/>
      <c r="T458" s="329"/>
      <c r="U458" s="329"/>
      <c r="V458" s="328"/>
      <c r="W458" s="329"/>
      <c r="X458" s="329"/>
      <c r="Y458" s="328"/>
      <c r="Z458" s="329"/>
      <c r="AA458" s="129"/>
      <c r="AB458" s="129"/>
      <c r="AC458" s="129"/>
      <c r="AD458" s="129"/>
      <c r="AE458" s="129"/>
      <c r="AF458" s="129"/>
      <c r="AL458" s="129"/>
      <c r="AM458" s="344"/>
      <c r="AN458" s="129"/>
      <c r="AO458" s="129"/>
    </row>
    <row r="459" spans="1:41" s="172" customFormat="1" ht="18.75">
      <c r="A459" s="56"/>
      <c r="B459" s="138" t="s">
        <v>864</v>
      </c>
      <c r="C459" s="157"/>
      <c r="D459" s="157"/>
      <c r="E459" s="157"/>
      <c r="F459" s="157"/>
      <c r="G459" s="157"/>
      <c r="H459" s="138"/>
      <c r="I459" s="160"/>
      <c r="J459" s="160"/>
      <c r="K459" s="56"/>
      <c r="L459" s="56"/>
      <c r="M459" s="56"/>
      <c r="N459" s="56"/>
      <c r="O459" s="56"/>
      <c r="P459" s="56"/>
      <c r="Q459" s="230"/>
      <c r="R459" s="56"/>
      <c r="S459" s="329"/>
      <c r="T459" s="329"/>
      <c r="U459" s="329"/>
      <c r="V459" s="328"/>
      <c r="W459" s="329"/>
      <c r="X459" s="329"/>
      <c r="Y459" s="328"/>
      <c r="Z459" s="329"/>
      <c r="AA459" s="129"/>
      <c r="AB459" s="129"/>
      <c r="AC459" s="129"/>
      <c r="AD459" s="129"/>
      <c r="AE459" s="129"/>
      <c r="AF459" s="129"/>
      <c r="AL459" s="129"/>
      <c r="AM459" s="344"/>
      <c r="AN459" s="129"/>
      <c r="AO459" s="129"/>
    </row>
    <row r="460" spans="1:41" s="172" customFormat="1" ht="18.75">
      <c r="A460" s="56"/>
      <c r="B460" s="138"/>
      <c r="C460" s="157"/>
      <c r="D460" s="157"/>
      <c r="E460" s="157"/>
      <c r="F460" s="157"/>
      <c r="G460" s="157"/>
      <c r="H460" s="138"/>
      <c r="I460" s="160"/>
      <c r="J460" s="160"/>
      <c r="K460" s="56"/>
      <c r="L460" s="56"/>
      <c r="M460" s="56"/>
      <c r="N460" s="56"/>
      <c r="O460" s="56"/>
      <c r="P460" s="56"/>
      <c r="Q460" s="230"/>
      <c r="R460" s="56"/>
      <c r="S460" s="329"/>
      <c r="T460" s="329"/>
      <c r="U460" s="329"/>
      <c r="V460" s="328"/>
      <c r="W460" s="329"/>
      <c r="X460" s="329"/>
      <c r="Y460" s="328"/>
      <c r="Z460" s="329"/>
      <c r="AA460" s="129"/>
      <c r="AB460" s="129"/>
      <c r="AC460" s="129"/>
      <c r="AD460" s="129"/>
      <c r="AE460" s="129"/>
      <c r="AF460" s="129"/>
      <c r="AL460" s="129"/>
      <c r="AM460" s="344"/>
      <c r="AN460" s="129"/>
      <c r="AO460" s="129"/>
    </row>
    <row r="461" spans="2:25" ht="18.75">
      <c r="B461" s="113" t="s">
        <v>598</v>
      </c>
      <c r="C461" s="135"/>
      <c r="D461" s="12"/>
      <c r="E461" s="12"/>
      <c r="F461" s="12"/>
      <c r="G461" s="12"/>
      <c r="H461" s="12"/>
      <c r="I461" s="12"/>
      <c r="J461" s="12"/>
      <c r="Q461" s="78"/>
      <c r="Y461" s="298"/>
    </row>
    <row r="462" spans="2:25" ht="20.25">
      <c r="B462" s="186" t="s">
        <v>21</v>
      </c>
      <c r="C462" s="135"/>
      <c r="D462" s="12"/>
      <c r="E462" s="12"/>
      <c r="F462" s="12"/>
      <c r="G462" s="12"/>
      <c r="H462" s="12"/>
      <c r="I462" s="12"/>
      <c r="J462" s="12"/>
      <c r="Y462" s="298"/>
    </row>
    <row r="463" spans="2:25" ht="16.5">
      <c r="B463" s="75" t="s">
        <v>679</v>
      </c>
      <c r="C463" s="9"/>
      <c r="D463" s="9"/>
      <c r="E463" s="9"/>
      <c r="F463" s="9"/>
      <c r="G463" s="9"/>
      <c r="H463" s="9"/>
      <c r="I463" s="9"/>
      <c r="J463" s="9"/>
      <c r="K463" s="5"/>
      <c r="L463"/>
      <c r="M463"/>
      <c r="N463"/>
      <c r="O463" s="4"/>
      <c r="P463" s="4"/>
      <c r="Q463"/>
      <c r="R463"/>
      <c r="S463" s="194"/>
      <c r="T463" s="194"/>
      <c r="U463" s="194"/>
      <c r="V463" s="330"/>
      <c r="W463" s="194"/>
      <c r="Y463" s="298"/>
    </row>
    <row r="464" spans="1:25" ht="15" customHeight="1">
      <c r="A464" s="172"/>
      <c r="B464" s="75" t="s">
        <v>680</v>
      </c>
      <c r="C464" s="9"/>
      <c r="D464" s="9"/>
      <c r="E464" s="9"/>
      <c r="F464" s="9"/>
      <c r="G464" s="9"/>
      <c r="H464" s="9"/>
      <c r="I464" s="9"/>
      <c r="J464" s="9"/>
      <c r="K464" s="5"/>
      <c r="L464"/>
      <c r="M464"/>
      <c r="N464"/>
      <c r="O464" s="4"/>
      <c r="P464" s="4"/>
      <c r="Q464"/>
      <c r="R464"/>
      <c r="S464" s="194"/>
      <c r="T464" s="194"/>
      <c r="U464" s="194"/>
      <c r="V464" s="330"/>
      <c r="W464" s="194"/>
      <c r="Y464" s="298"/>
    </row>
    <row r="465" spans="2:25" ht="16.5">
      <c r="B465" s="75" t="s">
        <v>681</v>
      </c>
      <c r="C465" s="9"/>
      <c r="D465" s="9"/>
      <c r="E465" s="9"/>
      <c r="F465" s="9"/>
      <c r="G465" s="9"/>
      <c r="H465" s="9"/>
      <c r="I465" s="9"/>
      <c r="J465" s="9"/>
      <c r="K465" s="5"/>
      <c r="L465"/>
      <c r="M465"/>
      <c r="N465"/>
      <c r="O465" s="4"/>
      <c r="P465" s="4"/>
      <c r="Q465"/>
      <c r="R465"/>
      <c r="S465" s="194"/>
      <c r="T465" s="194"/>
      <c r="U465" s="194"/>
      <c r="V465" s="330"/>
      <c r="W465" s="194"/>
      <c r="Y465" s="298"/>
    </row>
    <row r="466" spans="2:25" ht="16.5">
      <c r="B466" s="223" t="s">
        <v>702</v>
      </c>
      <c r="C466" s="63"/>
      <c r="D466" s="63"/>
      <c r="E466" s="63"/>
      <c r="F466" s="63"/>
      <c r="G466" s="63"/>
      <c r="H466" s="63"/>
      <c r="I466" s="63"/>
      <c r="J466" s="12"/>
      <c r="Y466" s="298"/>
    </row>
    <row r="467" spans="2:41" s="172" customFormat="1" ht="16.5">
      <c r="B467" s="223" t="s">
        <v>703</v>
      </c>
      <c r="C467" s="63"/>
      <c r="D467" s="63"/>
      <c r="E467" s="63"/>
      <c r="F467" s="63"/>
      <c r="G467" s="63"/>
      <c r="H467" s="63"/>
      <c r="I467" s="63"/>
      <c r="J467" s="12"/>
      <c r="S467" s="129"/>
      <c r="T467" s="129"/>
      <c r="U467" s="129"/>
      <c r="V467" s="129"/>
      <c r="W467" s="129"/>
      <c r="X467" s="129"/>
      <c r="Y467" s="298"/>
      <c r="Z467" s="129"/>
      <c r="AA467" s="129"/>
      <c r="AB467" s="129"/>
      <c r="AC467" s="129"/>
      <c r="AD467" s="129"/>
      <c r="AE467" s="129"/>
      <c r="AF467" s="129"/>
      <c r="AL467" s="129"/>
      <c r="AM467" s="344"/>
      <c r="AN467" s="129"/>
      <c r="AO467" s="129"/>
    </row>
    <row r="468" spans="2:41" s="172" customFormat="1" ht="16.5">
      <c r="B468" s="223" t="s">
        <v>910</v>
      </c>
      <c r="C468" s="63"/>
      <c r="D468" s="63"/>
      <c r="E468" s="63"/>
      <c r="F468" s="63"/>
      <c r="G468" s="63"/>
      <c r="H468" s="63"/>
      <c r="I468" s="63"/>
      <c r="J468" s="12"/>
      <c r="S468" s="129"/>
      <c r="T468" s="129"/>
      <c r="U468" s="129"/>
      <c r="V468" s="129"/>
      <c r="W468" s="129"/>
      <c r="X468" s="129"/>
      <c r="Y468" s="298"/>
      <c r="Z468" s="129"/>
      <c r="AA468" s="129"/>
      <c r="AB468" s="129"/>
      <c r="AC468" s="129"/>
      <c r="AD468" s="129"/>
      <c r="AE468" s="129"/>
      <c r="AF468" s="129"/>
      <c r="AL468" s="129"/>
      <c r="AM468" s="344"/>
      <c r="AN468" s="129"/>
      <c r="AO468" s="129"/>
    </row>
    <row r="469" spans="2:41" s="172" customFormat="1" ht="16.5">
      <c r="B469" s="223" t="s">
        <v>911</v>
      </c>
      <c r="C469" s="63"/>
      <c r="D469" s="63"/>
      <c r="E469" s="63"/>
      <c r="F469" s="63"/>
      <c r="G469" s="63"/>
      <c r="H469" s="63"/>
      <c r="I469" s="63"/>
      <c r="J469" s="12"/>
      <c r="S469" s="129"/>
      <c r="T469" s="129"/>
      <c r="U469" s="129"/>
      <c r="V469" s="129"/>
      <c r="W469" s="129"/>
      <c r="X469" s="129"/>
      <c r="Y469" s="298"/>
      <c r="Z469" s="129"/>
      <c r="AA469" s="129"/>
      <c r="AB469" s="129"/>
      <c r="AC469" s="129"/>
      <c r="AD469" s="129"/>
      <c r="AE469" s="129"/>
      <c r="AF469" s="129"/>
      <c r="AL469" s="129"/>
      <c r="AM469" s="344"/>
      <c r="AN469" s="129"/>
      <c r="AO469" s="129"/>
    </row>
    <row r="470" spans="2:41" s="172" customFormat="1" ht="16.5">
      <c r="B470" s="223"/>
      <c r="C470" s="63"/>
      <c r="D470" s="63"/>
      <c r="E470" s="63"/>
      <c r="F470" s="63"/>
      <c r="G470" s="63"/>
      <c r="H470" s="63"/>
      <c r="I470" s="63"/>
      <c r="J470" s="12"/>
      <c r="S470" s="129"/>
      <c r="T470" s="129"/>
      <c r="U470" s="129"/>
      <c r="V470" s="129"/>
      <c r="W470" s="129"/>
      <c r="X470" s="129"/>
      <c r="Y470" s="298"/>
      <c r="Z470" s="129"/>
      <c r="AA470" s="129"/>
      <c r="AB470" s="129"/>
      <c r="AC470" s="129"/>
      <c r="AD470" s="129"/>
      <c r="AE470" s="129"/>
      <c r="AF470" s="129"/>
      <c r="AL470" s="129"/>
      <c r="AM470" s="344"/>
      <c r="AN470" s="129"/>
      <c r="AO470" s="129"/>
    </row>
    <row r="471" spans="2:25" ht="15.75">
      <c r="B471" s="63" t="s">
        <v>150</v>
      </c>
      <c r="C471" s="12"/>
      <c r="D471" s="12"/>
      <c r="E471" s="12"/>
      <c r="F471" s="12"/>
      <c r="G471" s="12"/>
      <c r="H471" s="12"/>
      <c r="I471" s="12"/>
      <c r="J471" s="12"/>
      <c r="Y471" s="298"/>
    </row>
    <row r="472" spans="2:25" ht="15">
      <c r="B472" s="12"/>
      <c r="C472" s="12"/>
      <c r="D472" s="12"/>
      <c r="E472" s="12"/>
      <c r="F472" s="12"/>
      <c r="G472" s="12"/>
      <c r="H472" s="12"/>
      <c r="I472" s="12"/>
      <c r="J472" s="12"/>
      <c r="O472" s="614" t="s">
        <v>660</v>
      </c>
      <c r="P472" s="614"/>
      <c r="Q472" s="614"/>
      <c r="R472" s="224"/>
      <c r="Y472" s="298"/>
    </row>
    <row r="473" spans="2:25" ht="18.75">
      <c r="B473" s="113" t="s">
        <v>21</v>
      </c>
      <c r="C473" s="12"/>
      <c r="D473" s="12"/>
      <c r="E473" s="12"/>
      <c r="F473" s="12"/>
      <c r="G473" s="12"/>
      <c r="H473" s="12"/>
      <c r="I473" s="12"/>
      <c r="J473" s="12"/>
      <c r="O473" s="114">
        <v>2022</v>
      </c>
      <c r="P473" s="114">
        <v>2021</v>
      </c>
      <c r="Q473" s="114">
        <v>2020</v>
      </c>
      <c r="R473" s="114">
        <v>2019</v>
      </c>
      <c r="U473" s="289">
        <v>2018</v>
      </c>
      <c r="V473" s="307">
        <v>2017</v>
      </c>
      <c r="W473" s="312"/>
      <c r="X473" s="312"/>
      <c r="Y473" s="307">
        <v>2016</v>
      </c>
    </row>
    <row r="474" spans="2:25" ht="15.75">
      <c r="B474" s="63" t="s">
        <v>151</v>
      </c>
      <c r="C474" s="63"/>
      <c r="D474" s="63"/>
      <c r="E474" s="63"/>
      <c r="F474" s="63"/>
      <c r="G474" s="63"/>
      <c r="H474" s="64">
        <v>140344160.53</v>
      </c>
      <c r="I474" s="64"/>
      <c r="J474" s="64"/>
      <c r="K474" s="116"/>
      <c r="L474" s="116"/>
      <c r="M474" s="116"/>
      <c r="N474" s="116"/>
      <c r="O474" s="145">
        <v>148489264.17</v>
      </c>
      <c r="P474" s="145">
        <v>148391678.17</v>
      </c>
      <c r="Q474" s="145">
        <v>150379411.97</v>
      </c>
      <c r="R474" s="78">
        <v>148931698.06</v>
      </c>
      <c r="S474" s="119"/>
      <c r="T474" s="119"/>
      <c r="U474" s="118">
        <f>145447736.92+1987733.88</f>
        <v>147435470.79999998</v>
      </c>
      <c r="V474" s="118">
        <v>145381892.93</v>
      </c>
      <c r="W474" s="119"/>
      <c r="X474" s="119"/>
      <c r="Y474" s="118">
        <v>140344160.53</v>
      </c>
    </row>
    <row r="475" spans="2:25" ht="16.5">
      <c r="B475" s="75" t="s">
        <v>26</v>
      </c>
      <c r="C475" s="63"/>
      <c r="D475" s="63"/>
      <c r="E475" s="63"/>
      <c r="F475" s="63"/>
      <c r="G475" s="63"/>
      <c r="H475" s="64"/>
      <c r="I475" s="64"/>
      <c r="J475" s="64"/>
      <c r="K475" s="116"/>
      <c r="L475" s="116"/>
      <c r="M475" s="116"/>
      <c r="N475" s="116"/>
      <c r="O475" s="230"/>
      <c r="P475" s="204"/>
      <c r="Q475" s="116"/>
      <c r="R475" s="116"/>
      <c r="S475" s="119"/>
      <c r="T475" s="119"/>
      <c r="U475" s="119"/>
      <c r="V475" s="118"/>
      <c r="W475" s="119"/>
      <c r="X475" s="119"/>
      <c r="Y475" s="118"/>
    </row>
    <row r="476" spans="2:25" ht="16.5" thickBot="1">
      <c r="B476" s="63" t="s">
        <v>152</v>
      </c>
      <c r="C476" s="63"/>
      <c r="D476" s="63"/>
      <c r="E476" s="63"/>
      <c r="F476" s="63"/>
      <c r="G476" s="63"/>
      <c r="H476" s="65">
        <v>38219130.13</v>
      </c>
      <c r="I476" s="65"/>
      <c r="J476" s="65"/>
      <c r="K476" s="116"/>
      <c r="L476" s="116"/>
      <c r="M476" s="116"/>
      <c r="N476" s="116"/>
      <c r="O476" s="230">
        <v>77928568.89</v>
      </c>
      <c r="P476" s="204">
        <v>72025953.56</v>
      </c>
      <c r="Q476" s="78">
        <v>66285404.12</v>
      </c>
      <c r="R476" s="78">
        <v>60423177.78</v>
      </c>
      <c r="S476" s="119"/>
      <c r="T476" s="119"/>
      <c r="U476" s="118">
        <v>54563364.25</v>
      </c>
      <c r="V476" s="118">
        <v>48739493.29</v>
      </c>
      <c r="W476" s="119"/>
      <c r="X476" s="119"/>
      <c r="Y476" s="118">
        <v>42950613.13</v>
      </c>
    </row>
    <row r="477" spans="2:25" ht="19.5" thickBot="1">
      <c r="B477" s="113" t="s">
        <v>147</v>
      </c>
      <c r="C477" s="63"/>
      <c r="D477" s="63"/>
      <c r="E477" s="63"/>
      <c r="F477" s="63"/>
      <c r="G477" s="63"/>
      <c r="H477" s="69">
        <f>+H474-H476</f>
        <v>102125030.4</v>
      </c>
      <c r="I477" s="76"/>
      <c r="J477" s="76"/>
      <c r="K477" s="116"/>
      <c r="L477" s="116"/>
      <c r="M477" s="116"/>
      <c r="N477" s="116"/>
      <c r="O477" s="207">
        <f>++O474-O476</f>
        <v>70560695.27999999</v>
      </c>
      <c r="P477" s="207">
        <f>++P474-P476</f>
        <v>76365724.60999998</v>
      </c>
      <c r="Q477" s="207">
        <f>+Q474-Q476</f>
        <v>84094007.85</v>
      </c>
      <c r="R477" s="207">
        <f>+R474-R476</f>
        <v>88508520.28</v>
      </c>
      <c r="S477" s="119"/>
      <c r="T477" s="119"/>
      <c r="U477" s="313">
        <f>+U474-U476</f>
        <v>92872106.54999998</v>
      </c>
      <c r="V477" s="313">
        <f>+V474-V476</f>
        <v>96642399.64000002</v>
      </c>
      <c r="W477" s="119"/>
      <c r="X477" s="119"/>
      <c r="Y477" s="313">
        <f>+Y474-Y476</f>
        <v>97393547.4</v>
      </c>
    </row>
    <row r="478" spans="2:25" ht="16.5" hidden="1" thickTop="1">
      <c r="B478" s="63"/>
      <c r="C478" s="63"/>
      <c r="D478" s="63"/>
      <c r="E478" s="63"/>
      <c r="F478" s="63"/>
      <c r="G478" s="63"/>
      <c r="H478" s="64"/>
      <c r="I478" s="64"/>
      <c r="J478" s="64"/>
      <c r="K478" s="116"/>
      <c r="L478" s="116"/>
      <c r="M478" s="116"/>
      <c r="N478" s="116"/>
      <c r="O478" s="132"/>
      <c r="P478" s="132"/>
      <c r="Q478" s="116"/>
      <c r="R478" s="116"/>
      <c r="S478" s="119"/>
      <c r="T478" s="119"/>
      <c r="U478" s="119"/>
      <c r="V478" s="119"/>
      <c r="W478" s="119"/>
      <c r="X478" s="119"/>
      <c r="Y478" s="118"/>
    </row>
    <row r="479" spans="2:25" ht="15" hidden="1">
      <c r="B479" s="12"/>
      <c r="C479" s="12"/>
      <c r="D479" s="12"/>
      <c r="E479" s="12"/>
      <c r="F479" s="12"/>
      <c r="G479" s="12"/>
      <c r="H479" s="6"/>
      <c r="I479" s="6"/>
      <c r="J479" s="6"/>
      <c r="Y479" s="298"/>
    </row>
    <row r="480" spans="2:25" ht="17.25" thickTop="1">
      <c r="B480" s="75"/>
      <c r="C480" s="12"/>
      <c r="D480" s="12"/>
      <c r="E480" s="12"/>
      <c r="F480" s="12"/>
      <c r="G480" s="12"/>
      <c r="H480" s="6"/>
      <c r="I480" s="6"/>
      <c r="J480" s="6"/>
      <c r="Y480" s="298"/>
    </row>
    <row r="481" spans="2:41" s="172" customFormat="1" ht="18.75">
      <c r="B481" s="113" t="s">
        <v>633</v>
      </c>
      <c r="C481" s="12"/>
      <c r="D481" s="12"/>
      <c r="E481" s="12"/>
      <c r="F481" s="12"/>
      <c r="G481" s="12"/>
      <c r="H481" s="6"/>
      <c r="I481" s="6"/>
      <c r="J481" s="6"/>
      <c r="S481" s="129"/>
      <c r="T481" s="129"/>
      <c r="U481" s="129"/>
      <c r="V481" s="129"/>
      <c r="W481" s="129"/>
      <c r="X481" s="129"/>
      <c r="Y481" s="298"/>
      <c r="Z481" s="129"/>
      <c r="AA481" s="129"/>
      <c r="AB481" s="129"/>
      <c r="AC481" s="129"/>
      <c r="AD481" s="129"/>
      <c r="AE481" s="129"/>
      <c r="AF481" s="129"/>
      <c r="AL481" s="129"/>
      <c r="AM481" s="344"/>
      <c r="AN481" s="129"/>
      <c r="AO481" s="129"/>
    </row>
    <row r="482" spans="2:25" ht="20.25">
      <c r="B482" s="186" t="s">
        <v>22</v>
      </c>
      <c r="C482" s="12"/>
      <c r="D482" s="12"/>
      <c r="E482" s="12"/>
      <c r="F482" s="12"/>
      <c r="G482" s="12"/>
      <c r="H482" s="6"/>
      <c r="I482" s="6"/>
      <c r="J482" s="6"/>
      <c r="Y482" s="298"/>
    </row>
    <row r="483" spans="2:25" ht="15.75">
      <c r="B483" s="63" t="s">
        <v>704</v>
      </c>
      <c r="C483" s="12"/>
      <c r="D483" s="12"/>
      <c r="E483" s="12"/>
      <c r="F483" s="12"/>
      <c r="G483" s="12"/>
      <c r="H483" s="6"/>
      <c r="I483" s="6"/>
      <c r="J483" s="6"/>
      <c r="Y483" s="298"/>
    </row>
    <row r="484" spans="2:25" ht="15.75">
      <c r="B484" s="63" t="s">
        <v>153</v>
      </c>
      <c r="C484" s="12"/>
      <c r="D484" s="12"/>
      <c r="E484" s="12"/>
      <c r="F484" s="12"/>
      <c r="G484" s="12"/>
      <c r="H484" s="6"/>
      <c r="I484" s="6"/>
      <c r="J484" s="6"/>
      <c r="Y484" s="298"/>
    </row>
    <row r="485" spans="2:25" ht="15.75">
      <c r="B485" s="63" t="s">
        <v>154</v>
      </c>
      <c r="C485" s="12"/>
      <c r="D485" s="12"/>
      <c r="E485" s="12"/>
      <c r="F485" s="12"/>
      <c r="G485" s="12"/>
      <c r="H485" s="6"/>
      <c r="I485" s="6"/>
      <c r="J485" s="6"/>
      <c r="Y485" s="298"/>
    </row>
    <row r="486" spans="2:25" ht="15.75">
      <c r="B486" s="63"/>
      <c r="C486" s="12"/>
      <c r="D486" s="12"/>
      <c r="E486" s="12"/>
      <c r="F486" s="12"/>
      <c r="G486" s="12"/>
      <c r="H486" s="6"/>
      <c r="I486" s="6"/>
      <c r="J486" s="6"/>
      <c r="O486" s="614" t="s">
        <v>660</v>
      </c>
      <c r="P486" s="614"/>
      <c r="Q486" s="614"/>
      <c r="R486" s="225"/>
      <c r="Y486" s="298"/>
    </row>
    <row r="487" spans="2:25" ht="18.75">
      <c r="B487" s="113" t="s">
        <v>22</v>
      </c>
      <c r="C487" s="12"/>
      <c r="D487" s="12"/>
      <c r="E487" s="12"/>
      <c r="F487" s="12"/>
      <c r="G487" s="12"/>
      <c r="H487" s="12"/>
      <c r="I487" s="12"/>
      <c r="J487" s="12"/>
      <c r="O487" s="114">
        <v>2022</v>
      </c>
      <c r="P487" s="114">
        <v>2021</v>
      </c>
      <c r="Q487" s="114">
        <v>2020</v>
      </c>
      <c r="R487" s="114">
        <v>2019</v>
      </c>
      <c r="U487" s="289">
        <v>2018</v>
      </c>
      <c r="V487" s="307">
        <v>2017</v>
      </c>
      <c r="W487" s="312"/>
      <c r="X487" s="312"/>
      <c r="Y487" s="307">
        <v>2016</v>
      </c>
    </row>
    <row r="488" spans="2:25" ht="15.75">
      <c r="B488" s="63" t="s">
        <v>155</v>
      </c>
      <c r="C488" s="63"/>
      <c r="D488" s="63"/>
      <c r="E488" s="63"/>
      <c r="F488" s="63"/>
      <c r="G488" s="63"/>
      <c r="H488" s="64">
        <v>49805</v>
      </c>
      <c r="I488" s="64"/>
      <c r="J488" s="64"/>
      <c r="K488" s="116"/>
      <c r="L488" s="116"/>
      <c r="M488" s="116"/>
      <c r="N488" s="116"/>
      <c r="O488" s="70">
        <v>49805</v>
      </c>
      <c r="P488" s="70">
        <v>49805</v>
      </c>
      <c r="Q488" s="70">
        <v>49805</v>
      </c>
      <c r="R488" s="70">
        <v>49805</v>
      </c>
      <c r="S488" s="119"/>
      <c r="T488" s="119"/>
      <c r="U488" s="118">
        <v>49805</v>
      </c>
      <c r="V488" s="118">
        <v>49805</v>
      </c>
      <c r="W488" s="119"/>
      <c r="X488" s="119"/>
      <c r="Y488" s="118">
        <v>49805</v>
      </c>
    </row>
    <row r="489" spans="1:25" ht="15.75">
      <c r="A489" s="172"/>
      <c r="B489" s="63" t="s">
        <v>156</v>
      </c>
      <c r="C489" s="63"/>
      <c r="D489" s="63"/>
      <c r="E489" s="63"/>
      <c r="F489" s="63"/>
      <c r="G489" s="63"/>
      <c r="H489" s="64">
        <v>9352897.54</v>
      </c>
      <c r="I489" s="64"/>
      <c r="J489" s="64"/>
      <c r="K489" s="116"/>
      <c r="L489" s="116"/>
      <c r="M489" s="116"/>
      <c r="N489" s="116"/>
      <c r="O489" s="230">
        <v>0</v>
      </c>
      <c r="P489" s="204">
        <v>0</v>
      </c>
      <c r="Q489" s="78">
        <v>12033349.5</v>
      </c>
      <c r="R489" s="78">
        <v>11012996.04</v>
      </c>
      <c r="S489" s="119"/>
      <c r="T489" s="119"/>
      <c r="U489" s="118">
        <v>10828916.04</v>
      </c>
      <c r="V489" s="118">
        <v>10000435.45</v>
      </c>
      <c r="W489" s="119"/>
      <c r="X489" s="119"/>
      <c r="Y489" s="118">
        <v>9698345.72</v>
      </c>
    </row>
    <row r="490" spans="2:25" ht="15.75">
      <c r="B490" s="63" t="s">
        <v>145</v>
      </c>
      <c r="C490" s="63"/>
      <c r="D490" s="63"/>
      <c r="E490" s="63"/>
      <c r="F490" s="63"/>
      <c r="G490" s="63"/>
      <c r="H490" s="64">
        <v>965181.39</v>
      </c>
      <c r="I490" s="64"/>
      <c r="J490" s="64"/>
      <c r="K490" s="116"/>
      <c r="L490" s="116"/>
      <c r="M490" s="116"/>
      <c r="N490" s="116"/>
      <c r="O490" s="70">
        <v>965181.39</v>
      </c>
      <c r="P490" s="70">
        <v>965181.39</v>
      </c>
      <c r="Q490" s="70">
        <v>965181.39</v>
      </c>
      <c r="R490" s="70">
        <v>965181.39</v>
      </c>
      <c r="S490" s="119"/>
      <c r="T490" s="119"/>
      <c r="U490" s="118">
        <v>965181.39</v>
      </c>
      <c r="V490" s="118">
        <v>965181.39</v>
      </c>
      <c r="W490" s="119" t="s">
        <v>603</v>
      </c>
      <c r="X490" s="119"/>
      <c r="Y490" s="118"/>
    </row>
    <row r="491" spans="2:25" ht="15.75">
      <c r="B491" s="63" t="s">
        <v>157</v>
      </c>
      <c r="C491" s="63"/>
      <c r="D491" s="63"/>
      <c r="E491" s="63"/>
      <c r="F491" s="63"/>
      <c r="G491" s="63"/>
      <c r="H491" s="64">
        <f>6007285.94</f>
        <v>6007285.94</v>
      </c>
      <c r="I491" s="64"/>
      <c r="J491" s="64"/>
      <c r="K491" s="116"/>
      <c r="L491" s="116"/>
      <c r="M491" s="116"/>
      <c r="N491" s="116"/>
      <c r="O491" s="230">
        <v>6007285.94</v>
      </c>
      <c r="P491" s="204">
        <v>6007285.94</v>
      </c>
      <c r="Q491" s="78">
        <v>6007285.94</v>
      </c>
      <c r="R491" s="78">
        <v>6007285.94</v>
      </c>
      <c r="S491" s="119"/>
      <c r="T491" s="119"/>
      <c r="U491" s="118">
        <v>6007285.94</v>
      </c>
      <c r="V491" s="118">
        <v>6007285.94</v>
      </c>
      <c r="W491" s="119"/>
      <c r="X491" s="119"/>
      <c r="Y491" s="118">
        <v>6007285.94</v>
      </c>
    </row>
    <row r="492" spans="2:25" ht="15.75">
      <c r="B492" s="63" t="s">
        <v>158</v>
      </c>
      <c r="C492" s="63"/>
      <c r="D492" s="63"/>
      <c r="E492" s="63"/>
      <c r="F492" s="63"/>
      <c r="G492" s="63"/>
      <c r="H492" s="64">
        <v>979984.81</v>
      </c>
      <c r="I492" s="64"/>
      <c r="J492" s="64"/>
      <c r="K492" s="116"/>
      <c r="L492" s="116"/>
      <c r="M492" s="116"/>
      <c r="N492" s="116"/>
      <c r="O492" s="230">
        <v>979984.81</v>
      </c>
      <c r="P492" s="204">
        <v>979984.81</v>
      </c>
      <c r="Q492" s="78">
        <v>979984.81</v>
      </c>
      <c r="R492" s="78">
        <v>979984.81</v>
      </c>
      <c r="S492" s="119"/>
      <c r="T492" s="119"/>
      <c r="U492" s="118">
        <v>979984.81</v>
      </c>
      <c r="V492" s="118">
        <v>979984.81</v>
      </c>
      <c r="W492" s="119"/>
      <c r="X492" s="119"/>
      <c r="Y492" s="118">
        <v>979984.81</v>
      </c>
    </row>
    <row r="493" spans="2:25" ht="15.75">
      <c r="B493" s="63" t="s">
        <v>548</v>
      </c>
      <c r="C493" s="63"/>
      <c r="D493" s="63"/>
      <c r="E493" s="63"/>
      <c r="F493" s="63"/>
      <c r="G493" s="63"/>
      <c r="H493" s="64">
        <v>3037938.1</v>
      </c>
      <c r="I493" s="64"/>
      <c r="J493" s="64"/>
      <c r="K493" s="116"/>
      <c r="L493" s="116"/>
      <c r="M493" s="116"/>
      <c r="N493" s="116"/>
      <c r="O493" s="230">
        <v>3037938.1</v>
      </c>
      <c r="P493" s="204">
        <v>3037938.1</v>
      </c>
      <c r="Q493" s="78">
        <v>3037938.1</v>
      </c>
      <c r="R493" s="78">
        <v>3037938.1</v>
      </c>
      <c r="S493" s="119"/>
      <c r="T493" s="119"/>
      <c r="U493" s="118">
        <v>3037938.1</v>
      </c>
      <c r="V493" s="118">
        <v>3037938.1</v>
      </c>
      <c r="W493" s="119"/>
      <c r="X493" s="119"/>
      <c r="Y493" s="118">
        <v>3037938.1</v>
      </c>
    </row>
    <row r="494" spans="2:25" ht="15.75">
      <c r="B494" s="63" t="s">
        <v>159</v>
      </c>
      <c r="C494" s="63"/>
      <c r="D494" s="63"/>
      <c r="E494" s="63"/>
      <c r="F494" s="63"/>
      <c r="G494" s="63"/>
      <c r="H494" s="64">
        <v>1856898.48</v>
      </c>
      <c r="I494" s="64"/>
      <c r="J494" s="64"/>
      <c r="K494" s="116"/>
      <c r="L494" s="116"/>
      <c r="M494" s="116"/>
      <c r="N494" s="116"/>
      <c r="O494" s="230">
        <v>1947.51</v>
      </c>
      <c r="P494" s="204">
        <v>1947.51</v>
      </c>
      <c r="Q494" s="78">
        <v>1947.51</v>
      </c>
      <c r="R494" s="78">
        <v>1856898.48</v>
      </c>
      <c r="S494" s="119"/>
      <c r="T494" s="119"/>
      <c r="U494" s="118">
        <v>1856898.48</v>
      </c>
      <c r="V494" s="118">
        <v>1856898.48</v>
      </c>
      <c r="W494" s="119"/>
      <c r="X494" s="119"/>
      <c r="Y494" s="118">
        <v>1856898.48</v>
      </c>
    </row>
    <row r="495" spans="2:25" ht="15.75">
      <c r="B495" s="63" t="s">
        <v>160</v>
      </c>
      <c r="C495" s="63"/>
      <c r="D495" s="63"/>
      <c r="E495" s="63"/>
      <c r="F495" s="63"/>
      <c r="G495" s="63"/>
      <c r="H495" s="64">
        <v>10268276.4</v>
      </c>
      <c r="I495" s="64"/>
      <c r="J495" s="64"/>
      <c r="K495" s="116"/>
      <c r="L495" s="116"/>
      <c r="M495" s="116"/>
      <c r="N495" s="116"/>
      <c r="O495" s="230">
        <v>11511363.82</v>
      </c>
      <c r="P495" s="204">
        <v>11412715.82</v>
      </c>
      <c r="Q495" s="78">
        <v>11234852.3</v>
      </c>
      <c r="R495" s="78">
        <v>11234852.3</v>
      </c>
      <c r="S495" s="119"/>
      <c r="T495" s="119"/>
      <c r="U495" s="118">
        <v>10268276.4</v>
      </c>
      <c r="V495" s="118">
        <v>10268276.4</v>
      </c>
      <c r="W495" s="119"/>
      <c r="X495" s="119"/>
      <c r="Y495" s="118">
        <v>10268276.4</v>
      </c>
    </row>
    <row r="496" spans="2:25" ht="15.75">
      <c r="B496" s="63" t="s">
        <v>161</v>
      </c>
      <c r="C496" s="63"/>
      <c r="D496" s="63"/>
      <c r="E496" s="63"/>
      <c r="F496" s="63"/>
      <c r="G496" s="63"/>
      <c r="H496" s="64">
        <v>4947255.08</v>
      </c>
      <c r="I496" s="64"/>
      <c r="J496" s="64"/>
      <c r="K496" s="116"/>
      <c r="L496" s="116"/>
      <c r="M496" s="116"/>
      <c r="N496" s="116"/>
      <c r="O496" s="230">
        <v>4947255.08</v>
      </c>
      <c r="P496" s="204">
        <v>4947255.08</v>
      </c>
      <c r="Q496" s="78">
        <v>4947255.08</v>
      </c>
      <c r="R496" s="78">
        <v>4947255.08</v>
      </c>
      <c r="S496" s="119"/>
      <c r="T496" s="119"/>
      <c r="U496" s="118">
        <v>4947255.08</v>
      </c>
      <c r="V496" s="118">
        <v>4947255.08</v>
      </c>
      <c r="W496" s="119"/>
      <c r="X496" s="119"/>
      <c r="Y496" s="118">
        <v>4947255.08</v>
      </c>
    </row>
    <row r="497" spans="2:25" ht="15.75">
      <c r="B497" s="63" t="s">
        <v>162</v>
      </c>
      <c r="C497" s="63"/>
      <c r="D497" s="63"/>
      <c r="E497" s="63"/>
      <c r="F497" s="63"/>
      <c r="G497" s="63"/>
      <c r="H497" s="64">
        <v>654796.8</v>
      </c>
      <c r="I497" s="64"/>
      <c r="J497" s="64"/>
      <c r="K497" s="116"/>
      <c r="L497" s="116"/>
      <c r="M497" s="116"/>
      <c r="N497" s="116"/>
      <c r="O497" s="230">
        <v>654796.8</v>
      </c>
      <c r="P497" s="204">
        <v>654796.8</v>
      </c>
      <c r="Q497" s="78">
        <v>654796.8</v>
      </c>
      <c r="R497" s="78">
        <v>654796.8</v>
      </c>
      <c r="S497" s="119"/>
      <c r="T497" s="119"/>
      <c r="U497" s="118">
        <v>654796.8</v>
      </c>
      <c r="V497" s="118">
        <v>654796.8</v>
      </c>
      <c r="W497" s="119"/>
      <c r="X497" s="119"/>
      <c r="Y497" s="118">
        <v>654796.8</v>
      </c>
    </row>
    <row r="498" spans="2:25" ht="15.75">
      <c r="B498" s="63" t="s">
        <v>604</v>
      </c>
      <c r="C498" s="63"/>
      <c r="D498" s="63"/>
      <c r="E498" s="63"/>
      <c r="F498" s="63"/>
      <c r="G498" s="63"/>
      <c r="H498" s="64"/>
      <c r="I498" s="64"/>
      <c r="J498" s="64"/>
      <c r="K498" s="116"/>
      <c r="L498" s="116"/>
      <c r="M498" s="116"/>
      <c r="N498" s="116"/>
      <c r="O498" s="230">
        <v>17748</v>
      </c>
      <c r="P498" s="204">
        <v>17748</v>
      </c>
      <c r="Q498" s="78">
        <v>17748</v>
      </c>
      <c r="R498" s="78">
        <v>17748</v>
      </c>
      <c r="S498" s="119"/>
      <c r="T498" s="119"/>
      <c r="U498" s="118">
        <v>17748</v>
      </c>
      <c r="V498" s="118"/>
      <c r="W498" s="119"/>
      <c r="X498" s="119"/>
      <c r="Y498" s="118"/>
    </row>
    <row r="499" spans="2:25" ht="15.75">
      <c r="B499" s="63" t="s">
        <v>163</v>
      </c>
      <c r="C499" s="63"/>
      <c r="D499" s="63"/>
      <c r="E499" s="63"/>
      <c r="F499" s="63"/>
      <c r="G499" s="63"/>
      <c r="H499" s="64">
        <v>7680788.08</v>
      </c>
      <c r="I499" s="64"/>
      <c r="J499" s="64"/>
      <c r="K499" s="116"/>
      <c r="L499" s="116"/>
      <c r="M499" s="116"/>
      <c r="N499" s="116"/>
      <c r="O499" s="230">
        <v>7680788.08</v>
      </c>
      <c r="P499" s="204">
        <v>7680788.08</v>
      </c>
      <c r="Q499" s="78">
        <v>7680788.08</v>
      </c>
      <c r="R499" s="78">
        <v>7680788.08</v>
      </c>
      <c r="S499" s="119"/>
      <c r="T499" s="119"/>
      <c r="U499" s="118">
        <v>7680788.08</v>
      </c>
      <c r="V499" s="118">
        <v>7680788.08</v>
      </c>
      <c r="W499" s="119"/>
      <c r="X499" s="119"/>
      <c r="Y499" s="118">
        <v>7680788.08</v>
      </c>
    </row>
    <row r="500" spans="2:25" ht="15.75">
      <c r="B500" s="63" t="s">
        <v>629</v>
      </c>
      <c r="C500" s="63"/>
      <c r="D500" s="63"/>
      <c r="E500" s="63"/>
      <c r="F500" s="63"/>
      <c r="G500" s="63"/>
      <c r="H500" s="64"/>
      <c r="I500" s="64"/>
      <c r="J500" s="64"/>
      <c r="K500" s="116"/>
      <c r="L500" s="116"/>
      <c r="M500" s="116"/>
      <c r="N500" s="116"/>
      <c r="O500" s="230">
        <v>834600</v>
      </c>
      <c r="P500" s="204">
        <v>834600</v>
      </c>
      <c r="Q500" s="78">
        <v>834600</v>
      </c>
      <c r="R500" s="78">
        <v>834600</v>
      </c>
      <c r="S500" s="119"/>
      <c r="T500" s="119"/>
      <c r="U500" s="118"/>
      <c r="V500" s="118"/>
      <c r="W500" s="119"/>
      <c r="X500" s="119"/>
      <c r="Y500" s="118"/>
    </row>
    <row r="501" spans="2:25" ht="16.5" thickBot="1">
      <c r="B501" s="63" t="s">
        <v>164</v>
      </c>
      <c r="C501" s="63"/>
      <c r="D501" s="63"/>
      <c r="E501" s="63"/>
      <c r="F501" s="63"/>
      <c r="G501" s="63"/>
      <c r="H501" s="66">
        <v>667000</v>
      </c>
      <c r="I501" s="65"/>
      <c r="J501" s="65"/>
      <c r="K501" s="116"/>
      <c r="L501" s="116"/>
      <c r="M501" s="116"/>
      <c r="N501" s="116"/>
      <c r="O501" s="91">
        <v>667000</v>
      </c>
      <c r="P501" s="91">
        <v>667000</v>
      </c>
      <c r="Q501" s="91">
        <v>667000</v>
      </c>
      <c r="R501" s="91">
        <v>667000</v>
      </c>
      <c r="S501" s="119"/>
      <c r="T501" s="119"/>
      <c r="U501" s="296">
        <v>667000</v>
      </c>
      <c r="V501" s="296">
        <v>667000</v>
      </c>
      <c r="W501" s="119"/>
      <c r="X501" s="119"/>
      <c r="Y501" s="296">
        <v>667000</v>
      </c>
    </row>
    <row r="502" spans="2:25" ht="16.5" thickBot="1">
      <c r="B502" s="63" t="s">
        <v>675</v>
      </c>
      <c r="C502" s="63"/>
      <c r="D502" s="63"/>
      <c r="E502" s="63"/>
      <c r="F502" s="63"/>
      <c r="G502" s="63"/>
      <c r="H502" s="65"/>
      <c r="I502" s="65"/>
      <c r="J502" s="65"/>
      <c r="K502" s="116"/>
      <c r="L502" s="116"/>
      <c r="M502" s="116"/>
      <c r="N502" s="116"/>
      <c r="O502" s="89">
        <v>19756.48</v>
      </c>
      <c r="P502" s="89">
        <v>19756.48</v>
      </c>
      <c r="Q502" s="89">
        <v>19756.48</v>
      </c>
      <c r="R502" s="89"/>
      <c r="S502" s="119"/>
      <c r="T502" s="119"/>
      <c r="U502" s="314"/>
      <c r="V502" s="314"/>
      <c r="W502" s="119"/>
      <c r="X502" s="119"/>
      <c r="Y502" s="314"/>
    </row>
    <row r="503" spans="2:25" ht="16.5">
      <c r="B503" s="63"/>
      <c r="C503" s="63"/>
      <c r="D503" s="63"/>
      <c r="E503" s="63"/>
      <c r="F503" s="63"/>
      <c r="G503" s="63"/>
      <c r="H503" s="72">
        <f>SUM(H488:H501)</f>
        <v>46468107.62</v>
      </c>
      <c r="I503" s="72"/>
      <c r="J503" s="72"/>
      <c r="K503" s="116"/>
      <c r="L503" s="116"/>
      <c r="M503" s="116"/>
      <c r="N503" s="116"/>
      <c r="O503" s="210">
        <f>SUM(O488:O502)</f>
        <v>37375451.01</v>
      </c>
      <c r="P503" s="210">
        <f>SUM(P488:P502)</f>
        <v>37276803.01</v>
      </c>
      <c r="Q503" s="210">
        <f>SUM(Q488:Q502)</f>
        <v>49132288.989999995</v>
      </c>
      <c r="R503" s="210">
        <f>SUM(R488:R501)</f>
        <v>49947130.019999996</v>
      </c>
      <c r="S503" s="315"/>
      <c r="T503" s="119"/>
      <c r="U503" s="317">
        <f>SUM(U488:U501)</f>
        <v>47961874.12</v>
      </c>
      <c r="V503" s="317">
        <f>SUM(V488:V501)</f>
        <v>47115645.529999994</v>
      </c>
      <c r="W503" s="119"/>
      <c r="X503" s="119"/>
      <c r="Y503" s="317">
        <f>SUM(Y488:Y501)</f>
        <v>45848374.41</v>
      </c>
    </row>
    <row r="504" spans="2:25" ht="16.5">
      <c r="B504" s="75" t="s">
        <v>26</v>
      </c>
      <c r="C504" s="63"/>
      <c r="D504" s="63"/>
      <c r="E504" s="63"/>
      <c r="F504" s="63"/>
      <c r="G504" s="63"/>
      <c r="H504" s="72"/>
      <c r="I504" s="72"/>
      <c r="J504" s="72"/>
      <c r="K504" s="116"/>
      <c r="L504" s="116"/>
      <c r="M504" s="116"/>
      <c r="N504" s="116"/>
      <c r="O504" s="132"/>
      <c r="P504" s="132"/>
      <c r="Q504" s="116"/>
      <c r="R504" s="116"/>
      <c r="S504" s="331"/>
      <c r="T504" s="119"/>
      <c r="U504" s="119"/>
      <c r="V504" s="118"/>
      <c r="W504" s="119"/>
      <c r="X504" s="119"/>
      <c r="Y504" s="118"/>
    </row>
    <row r="505" spans="2:25" ht="16.5">
      <c r="B505" s="63" t="s">
        <v>152</v>
      </c>
      <c r="C505" s="63"/>
      <c r="D505" s="63"/>
      <c r="E505" s="63"/>
      <c r="F505" s="63"/>
      <c r="G505" s="63"/>
      <c r="H505" s="65">
        <v>23555907.2</v>
      </c>
      <c r="I505" s="76"/>
      <c r="J505" s="76"/>
      <c r="K505" s="116"/>
      <c r="L505" s="116"/>
      <c r="M505" s="116"/>
      <c r="N505" s="116"/>
      <c r="O505" s="88">
        <f>+'Depreciación Acumulada'!E199</f>
        <v>29143766.409999996</v>
      </c>
      <c r="P505" s="88">
        <f>+'Depreciación Acumulada'!F199</f>
        <v>26677461.869999997</v>
      </c>
      <c r="Q505" s="88">
        <f>+'Depreciación Acumulada'!G199</f>
        <v>31718977.439999998</v>
      </c>
      <c r="R505" s="88">
        <f>+'Depreciación Acumulada'!H199</f>
        <v>30655866.19</v>
      </c>
      <c r="S505" s="119"/>
      <c r="T505" s="119"/>
      <c r="U505" s="294">
        <v>30087204.24</v>
      </c>
      <c r="V505" s="294">
        <v>29518542.29</v>
      </c>
      <c r="W505" s="119"/>
      <c r="X505" s="119"/>
      <c r="Y505" s="294">
        <v>25289708.34</v>
      </c>
    </row>
    <row r="506" spans="2:25" ht="19.5" thickBot="1">
      <c r="B506" s="113" t="s">
        <v>147</v>
      </c>
      <c r="C506" s="63"/>
      <c r="D506" s="63"/>
      <c r="E506" s="63"/>
      <c r="F506" s="63"/>
      <c r="G506" s="63"/>
      <c r="H506" s="69">
        <f>+H503-H505</f>
        <v>22912200.419999998</v>
      </c>
      <c r="I506" s="76"/>
      <c r="J506" s="76"/>
      <c r="K506" s="132"/>
      <c r="L506" s="116"/>
      <c r="M506" s="116"/>
      <c r="N506" s="116"/>
      <c r="O506" s="210">
        <f>+O503-O505</f>
        <v>8231684.6000000015</v>
      </c>
      <c r="P506" s="210">
        <f>+P503-P505</f>
        <v>10599341.14</v>
      </c>
      <c r="Q506" s="210">
        <f>+Q503-Q505</f>
        <v>17413311.549999997</v>
      </c>
      <c r="R506" s="210">
        <f>+R503-R505</f>
        <v>19291263.829999994</v>
      </c>
      <c r="S506" s="119"/>
      <c r="T506" s="119"/>
      <c r="U506" s="313">
        <f>+U503-U505</f>
        <v>17874669.88</v>
      </c>
      <c r="V506" s="313">
        <f>+V503-V505</f>
        <v>17597103.239999995</v>
      </c>
      <c r="W506" s="119"/>
      <c r="X506" s="119"/>
      <c r="Y506" s="313">
        <f>+Y503-Y505</f>
        <v>20558666.069999997</v>
      </c>
    </row>
    <row r="507" spans="2:25" ht="16.5" thickBot="1" thickTop="1">
      <c r="B507" s="12"/>
      <c r="C507" s="12"/>
      <c r="D507" s="12"/>
      <c r="E507" s="12"/>
      <c r="F507" s="12"/>
      <c r="G507" s="12"/>
      <c r="H507" s="6"/>
      <c r="I507" s="6"/>
      <c r="J507" s="6"/>
      <c r="O507" s="161"/>
      <c r="P507" s="161"/>
      <c r="Q507" s="161"/>
      <c r="R507" s="161"/>
      <c r="U507" s="332"/>
      <c r="V507" s="298"/>
      <c r="Y507" s="298"/>
    </row>
    <row r="508" spans="2:25" ht="19.5" thickBot="1">
      <c r="B508" s="157" t="s">
        <v>634</v>
      </c>
      <c r="C508" s="157"/>
      <c r="D508" s="157"/>
      <c r="E508" s="157"/>
      <c r="F508" s="157"/>
      <c r="G508" s="157"/>
      <c r="H508" s="45">
        <f>+H477+H506</f>
        <v>125037230.82000001</v>
      </c>
      <c r="I508" s="6"/>
      <c r="J508" s="6"/>
      <c r="O508" s="211">
        <f>+O477+O506</f>
        <v>78792379.88</v>
      </c>
      <c r="P508" s="211">
        <f>+P477+P506</f>
        <v>86965065.74999999</v>
      </c>
      <c r="Q508" s="211">
        <f>+Q477+Q506</f>
        <v>101507319.39999999</v>
      </c>
      <c r="R508" s="211">
        <f>+R477+R506</f>
        <v>107799784.11</v>
      </c>
      <c r="U508" s="333">
        <f>+U477+U506</f>
        <v>110746776.42999998</v>
      </c>
      <c r="V508" s="333">
        <f>+V477+V506</f>
        <v>114239502.88000001</v>
      </c>
      <c r="Y508" s="333">
        <f>+Y477+Y506</f>
        <v>117952213.47</v>
      </c>
    </row>
    <row r="509" spans="2:25" ht="15.75" thickTop="1">
      <c r="B509" s="12"/>
      <c r="C509" s="12"/>
      <c r="D509" s="12"/>
      <c r="E509" s="12"/>
      <c r="F509" s="12"/>
      <c r="G509" s="12"/>
      <c r="H509" s="6"/>
      <c r="I509" s="6"/>
      <c r="J509" s="6"/>
      <c r="Y509" s="298"/>
    </row>
    <row r="510" spans="2:25" ht="16.5">
      <c r="B510" s="176"/>
      <c r="C510" s="12"/>
      <c r="D510" s="12"/>
      <c r="E510" s="12"/>
      <c r="F510" s="12"/>
      <c r="G510" s="12"/>
      <c r="H510" s="6"/>
      <c r="I510" s="6"/>
      <c r="J510" s="6"/>
      <c r="Y510" s="298"/>
    </row>
    <row r="511" spans="2:25" ht="16.5">
      <c r="B511" s="176"/>
      <c r="C511" s="12"/>
      <c r="D511" s="12"/>
      <c r="E511" s="12"/>
      <c r="F511" s="12"/>
      <c r="G511" s="12"/>
      <c r="H511" s="12"/>
      <c r="I511" s="12"/>
      <c r="J511" s="12"/>
      <c r="Y511" s="298"/>
    </row>
    <row r="512" spans="2:41" s="172" customFormat="1" ht="15">
      <c r="B512" s="12"/>
      <c r="C512" s="12"/>
      <c r="D512" s="12"/>
      <c r="E512" s="12"/>
      <c r="F512" s="12"/>
      <c r="G512" s="12"/>
      <c r="H512" s="12"/>
      <c r="I512" s="12"/>
      <c r="J512" s="12"/>
      <c r="S512" s="129"/>
      <c r="T512" s="129"/>
      <c r="U512" s="129"/>
      <c r="V512" s="129"/>
      <c r="W512" s="129"/>
      <c r="X512" s="129"/>
      <c r="Y512" s="298"/>
      <c r="Z512" s="129"/>
      <c r="AA512" s="129"/>
      <c r="AB512" s="129"/>
      <c r="AC512" s="129"/>
      <c r="AD512" s="129"/>
      <c r="AE512" s="129"/>
      <c r="AF512" s="129"/>
      <c r="AL512" s="129"/>
      <c r="AM512" s="344"/>
      <c r="AN512" s="129"/>
      <c r="AO512" s="129"/>
    </row>
    <row r="513" spans="2:25" ht="18.75">
      <c r="B513" s="113" t="s">
        <v>599</v>
      </c>
      <c r="C513" s="135"/>
      <c r="D513" s="135"/>
      <c r="E513" s="135"/>
      <c r="F513" s="12"/>
      <c r="G513" s="12"/>
      <c r="H513" s="12"/>
      <c r="I513" s="12"/>
      <c r="J513" s="12"/>
      <c r="O513" s="614" t="s">
        <v>660</v>
      </c>
      <c r="P513" s="614"/>
      <c r="Q513" s="614"/>
      <c r="R513" s="225"/>
      <c r="U513" s="307">
        <v>2018</v>
      </c>
      <c r="V513" s="307">
        <v>2017</v>
      </c>
      <c r="W513" s="312"/>
      <c r="X513" s="312"/>
      <c r="Y513" s="307">
        <v>2016</v>
      </c>
    </row>
    <row r="514" spans="2:25" ht="20.25">
      <c r="B514" s="186" t="s">
        <v>503</v>
      </c>
      <c r="C514" s="135"/>
      <c r="D514" s="135"/>
      <c r="E514" s="135"/>
      <c r="F514" s="12"/>
      <c r="G514" s="12"/>
      <c r="H514" s="12"/>
      <c r="I514" s="12"/>
      <c r="J514" s="12"/>
      <c r="O514" s="114">
        <v>2022</v>
      </c>
      <c r="P514" s="114">
        <v>2021</v>
      </c>
      <c r="Q514" s="114">
        <v>2020</v>
      </c>
      <c r="R514" s="114">
        <v>2019</v>
      </c>
      <c r="Y514" s="298"/>
    </row>
    <row r="515" spans="2:25" ht="15.75">
      <c r="B515" s="63" t="s">
        <v>168</v>
      </c>
      <c r="C515" s="12"/>
      <c r="D515" s="12"/>
      <c r="E515" s="12"/>
      <c r="F515" s="12"/>
      <c r="G515" s="12"/>
      <c r="H515" s="12"/>
      <c r="I515" s="12"/>
      <c r="J515" s="12"/>
      <c r="V515" s="298"/>
      <c r="Y515" s="298"/>
    </row>
    <row r="516" spans="2:25" ht="15">
      <c r="B516" s="12"/>
      <c r="C516" s="12"/>
      <c r="D516" s="12"/>
      <c r="E516" s="12"/>
      <c r="F516" s="12"/>
      <c r="G516" s="12"/>
      <c r="H516" s="12"/>
      <c r="I516" s="12"/>
      <c r="J516" s="12"/>
      <c r="V516" s="298"/>
      <c r="Y516" s="298"/>
    </row>
    <row r="517" spans="2:25" ht="15" hidden="1">
      <c r="B517" s="12" t="s">
        <v>169</v>
      </c>
      <c r="C517" s="12"/>
      <c r="D517" s="12"/>
      <c r="E517" s="12"/>
      <c r="F517" s="12"/>
      <c r="G517" s="12"/>
      <c r="H517" s="6"/>
      <c r="I517" s="6"/>
      <c r="J517" s="6"/>
      <c r="V517" s="298"/>
      <c r="Y517" s="298"/>
    </row>
    <row r="518" spans="2:25" ht="15" hidden="1">
      <c r="B518" s="12" t="s">
        <v>170</v>
      </c>
      <c r="C518" s="12"/>
      <c r="D518" s="12"/>
      <c r="E518" s="12"/>
      <c r="F518" s="12"/>
      <c r="G518" s="12"/>
      <c r="H518" s="6"/>
      <c r="I518" s="6"/>
      <c r="J518" s="6"/>
      <c r="V518" s="298"/>
      <c r="Y518" s="298"/>
    </row>
    <row r="519" spans="2:25" ht="15" hidden="1">
      <c r="B519" s="12" t="s">
        <v>171</v>
      </c>
      <c r="C519" s="12"/>
      <c r="D519" s="12"/>
      <c r="E519" s="12"/>
      <c r="F519" s="12"/>
      <c r="G519" s="12"/>
      <c r="H519" s="6"/>
      <c r="I519" s="6"/>
      <c r="J519" s="6"/>
      <c r="V519" s="298"/>
      <c r="Y519" s="298"/>
    </row>
    <row r="520" spans="2:25" ht="16.5">
      <c r="B520" s="63" t="s">
        <v>551</v>
      </c>
      <c r="C520" s="63"/>
      <c r="D520" s="63"/>
      <c r="E520" s="63"/>
      <c r="F520" s="75"/>
      <c r="G520" s="63"/>
      <c r="H520" s="67">
        <v>14664080.14</v>
      </c>
      <c r="I520" s="64"/>
      <c r="J520" s="64"/>
      <c r="K520" s="116"/>
      <c r="L520" s="116"/>
      <c r="M520" s="116"/>
      <c r="N520" s="116"/>
      <c r="O520" s="230">
        <f>5004007.68+18600-2011897.77+57380-7294.9</f>
        <v>3060795.01</v>
      </c>
      <c r="P520" s="204">
        <f>8111355.89-5431836.47</f>
        <v>2679519.42</v>
      </c>
      <c r="Q520" s="204">
        <v>1510755.51</v>
      </c>
      <c r="R520" s="78">
        <v>4363148.71</v>
      </c>
      <c r="S520" s="119"/>
      <c r="T520" s="119"/>
      <c r="U520" s="118">
        <f>13170406.76+813857.11-8027430.91</f>
        <v>5956832.959999999</v>
      </c>
      <c r="V520" s="118">
        <v>2508515.95</v>
      </c>
      <c r="W520" s="119"/>
      <c r="X520" s="119"/>
      <c r="Y520" s="118">
        <f>13357011.35+856702.74</f>
        <v>14213714.09</v>
      </c>
    </row>
    <row r="521" spans="2:25" ht="16.5">
      <c r="B521" s="63" t="s">
        <v>549</v>
      </c>
      <c r="C521" s="63"/>
      <c r="D521" s="63"/>
      <c r="E521" s="63"/>
      <c r="F521" s="75"/>
      <c r="G521" s="63"/>
      <c r="H521" s="65"/>
      <c r="I521" s="64"/>
      <c r="J521" s="64"/>
      <c r="K521" s="116"/>
      <c r="L521" s="116"/>
      <c r="M521" s="116"/>
      <c r="N521" s="116"/>
      <c r="O521" s="230">
        <v>2011897.77</v>
      </c>
      <c r="P521" s="204">
        <f>8111355.89-2679519.42</f>
        <v>5431836.47</v>
      </c>
      <c r="Q521" s="204">
        <v>3050084.21</v>
      </c>
      <c r="R521" s="78">
        <f>13825204.05-4363148.71</f>
        <v>9462055.34</v>
      </c>
      <c r="S521" s="119"/>
      <c r="T521" s="119"/>
      <c r="U521" s="118">
        <v>8027430.91</v>
      </c>
      <c r="V521" s="118">
        <f>9924946.63+827104.35</f>
        <v>10752050.98</v>
      </c>
      <c r="W521" s="119"/>
      <c r="X521" s="119"/>
      <c r="Y521" s="118"/>
    </row>
    <row r="522" spans="2:25" ht="16.5" thickBot="1">
      <c r="B522" s="12"/>
      <c r="C522" s="12"/>
      <c r="D522" s="12"/>
      <c r="E522" s="12"/>
      <c r="F522" s="25"/>
      <c r="G522" s="12"/>
      <c r="H522" s="11"/>
      <c r="I522" s="6"/>
      <c r="J522" s="6"/>
      <c r="R522" s="58"/>
      <c r="U522" s="327"/>
      <c r="V522" s="298"/>
      <c r="Y522" s="298"/>
    </row>
    <row r="523" spans="2:25" ht="19.5" thickBot="1">
      <c r="B523" s="113" t="s">
        <v>635</v>
      </c>
      <c r="C523" s="135"/>
      <c r="D523" s="135"/>
      <c r="E523" s="135"/>
      <c r="F523" s="113"/>
      <c r="G523" s="135"/>
      <c r="H523" s="45">
        <f>SUM(H520)</f>
        <v>14664080.14</v>
      </c>
      <c r="I523" s="6"/>
      <c r="J523" s="6"/>
      <c r="O523" s="212">
        <f>SUM(O520:O522)</f>
        <v>5072692.779999999</v>
      </c>
      <c r="P523" s="212">
        <f>SUM(P520:P522)</f>
        <v>8111355.89</v>
      </c>
      <c r="Q523" s="212">
        <f>SUM(Q520:Q522)</f>
        <v>4560839.72</v>
      </c>
      <c r="R523" s="212">
        <f>SUM(R520:R522)</f>
        <v>13825204.05</v>
      </c>
      <c r="U523" s="333">
        <f>SUM(U520:U522)</f>
        <v>13984263.87</v>
      </c>
      <c r="V523" s="333">
        <f>SUM(V520:V522)</f>
        <v>13260566.93</v>
      </c>
      <c r="Y523" s="333">
        <f>SUM(Y520)</f>
        <v>14213714.09</v>
      </c>
    </row>
    <row r="524" spans="2:25" ht="17.25" thickTop="1">
      <c r="B524" s="75"/>
      <c r="C524" s="12"/>
      <c r="D524" s="12"/>
      <c r="E524" s="12"/>
      <c r="F524" s="25"/>
      <c r="G524" s="12"/>
      <c r="H524" s="6"/>
      <c r="I524" s="6"/>
      <c r="J524" s="6"/>
      <c r="Y524" s="298"/>
    </row>
    <row r="525" spans="2:25" ht="16.5">
      <c r="B525" s="63"/>
      <c r="C525" s="12"/>
      <c r="D525" s="12"/>
      <c r="E525" s="12"/>
      <c r="F525" s="25"/>
      <c r="G525" s="12"/>
      <c r="H525" s="6"/>
      <c r="I525" s="6"/>
      <c r="J525" s="6"/>
      <c r="Y525" s="298"/>
    </row>
    <row r="526" spans="2:25" ht="16.5" hidden="1">
      <c r="B526" s="75" t="s">
        <v>177</v>
      </c>
      <c r="C526" s="12"/>
      <c r="D526" s="12"/>
      <c r="E526" s="12"/>
      <c r="F526" s="12"/>
      <c r="G526" s="12"/>
      <c r="H526" s="12"/>
      <c r="I526" s="12"/>
      <c r="J526" s="12"/>
      <c r="Y526" s="298"/>
    </row>
    <row r="527" spans="2:25" ht="16.5" hidden="1">
      <c r="B527" s="75" t="s">
        <v>178</v>
      </c>
      <c r="C527" s="12"/>
      <c r="D527" s="12"/>
      <c r="E527" s="12"/>
      <c r="F527" s="12"/>
      <c r="G527" s="12"/>
      <c r="H527" s="12"/>
      <c r="I527" s="12"/>
      <c r="J527" s="12"/>
      <c r="Y527" s="298"/>
    </row>
    <row r="528" spans="2:25" ht="15" hidden="1">
      <c r="B528" s="12" t="s">
        <v>179</v>
      </c>
      <c r="C528" s="12"/>
      <c r="D528" s="12"/>
      <c r="E528" s="12"/>
      <c r="F528" s="12"/>
      <c r="G528" s="12"/>
      <c r="H528" s="12"/>
      <c r="I528" s="12"/>
      <c r="J528" s="12"/>
      <c r="Y528" s="298"/>
    </row>
    <row r="529" spans="2:25" ht="15" hidden="1">
      <c r="B529" s="12"/>
      <c r="C529" s="12"/>
      <c r="D529" s="12"/>
      <c r="E529" s="12"/>
      <c r="F529" s="12"/>
      <c r="G529" s="12"/>
      <c r="H529" s="12"/>
      <c r="I529" s="12"/>
      <c r="J529" s="12"/>
      <c r="Y529" s="298"/>
    </row>
    <row r="530" spans="2:25" ht="15" hidden="1">
      <c r="B530" s="12" t="s">
        <v>180</v>
      </c>
      <c r="C530" s="12"/>
      <c r="D530" s="12"/>
      <c r="E530" s="12"/>
      <c r="F530" s="12" t="s">
        <v>97</v>
      </c>
      <c r="G530" s="12"/>
      <c r="H530" s="6">
        <f>-1716449.17+6731957.88</f>
        <v>5015508.71</v>
      </c>
      <c r="I530" s="6"/>
      <c r="J530" s="6"/>
      <c r="Y530" s="298"/>
    </row>
    <row r="531" spans="2:25" ht="15" hidden="1">
      <c r="B531" s="12" t="s">
        <v>181</v>
      </c>
      <c r="C531" s="12"/>
      <c r="D531" s="12"/>
      <c r="E531" s="12"/>
      <c r="F531" s="12" t="s">
        <v>109</v>
      </c>
      <c r="G531" s="12"/>
      <c r="H531" s="6">
        <f>2763439.02-29367.57</f>
        <v>2734071.45</v>
      </c>
      <c r="I531" s="6"/>
      <c r="J531" s="6"/>
      <c r="Y531" s="298"/>
    </row>
    <row r="532" spans="2:25" ht="15" hidden="1">
      <c r="B532" s="12" t="s">
        <v>182</v>
      </c>
      <c r="C532" s="12"/>
      <c r="D532" s="12"/>
      <c r="E532" s="12"/>
      <c r="F532" s="12" t="s">
        <v>109</v>
      </c>
      <c r="G532" s="12"/>
      <c r="H532" s="6">
        <f>2052506.87-346216.31+159676.89-316477.65</f>
        <v>1549489.8000000003</v>
      </c>
      <c r="I532" s="6"/>
      <c r="J532" s="6"/>
      <c r="Y532" s="298"/>
    </row>
    <row r="533" spans="2:25" ht="15" hidden="1">
      <c r="B533" s="12" t="s">
        <v>183</v>
      </c>
      <c r="C533" s="12"/>
      <c r="D533" s="12"/>
      <c r="E533" s="12"/>
      <c r="F533" s="12"/>
      <c r="G533" s="12"/>
      <c r="H533" s="6">
        <v>-14579.15</v>
      </c>
      <c r="I533" s="6"/>
      <c r="J533" s="6"/>
      <c r="Y533" s="298"/>
    </row>
    <row r="534" spans="2:25" ht="15" hidden="1">
      <c r="B534" s="12" t="s">
        <v>184</v>
      </c>
      <c r="C534" s="12"/>
      <c r="D534" s="12"/>
      <c r="E534" s="12"/>
      <c r="F534" s="12"/>
      <c r="G534" s="12"/>
      <c r="H534" s="6"/>
      <c r="I534" s="6"/>
      <c r="J534" s="6"/>
      <c r="Y534" s="298"/>
    </row>
    <row r="535" spans="2:25" ht="15" hidden="1">
      <c r="B535" s="12" t="s">
        <v>185</v>
      </c>
      <c r="C535" s="12"/>
      <c r="D535" s="12"/>
      <c r="E535" s="12"/>
      <c r="F535" s="12"/>
      <c r="G535" s="12"/>
      <c r="H535" s="6">
        <f>-178986.16+230125.22</f>
        <v>51139.06</v>
      </c>
      <c r="I535" s="6"/>
      <c r="J535" s="6"/>
      <c r="Y535" s="298"/>
    </row>
    <row r="536" spans="2:25" ht="15" hidden="1">
      <c r="B536" s="12" t="s">
        <v>186</v>
      </c>
      <c r="C536" s="12"/>
      <c r="D536" s="12"/>
      <c r="E536" s="12"/>
      <c r="F536" s="12"/>
      <c r="G536" s="12"/>
      <c r="H536" s="6"/>
      <c r="I536" s="6"/>
      <c r="J536" s="6"/>
      <c r="Y536" s="298"/>
    </row>
    <row r="537" spans="2:25" ht="15" hidden="1">
      <c r="B537" s="12" t="s">
        <v>185</v>
      </c>
      <c r="C537" s="12"/>
      <c r="D537" s="12"/>
      <c r="E537" s="12"/>
      <c r="F537" s="12"/>
      <c r="G537" s="12"/>
      <c r="H537" s="6"/>
      <c r="I537" s="6"/>
      <c r="J537" s="6"/>
      <c r="Y537" s="298"/>
    </row>
    <row r="538" spans="2:25" ht="15" hidden="1">
      <c r="B538" s="12" t="s">
        <v>187</v>
      </c>
      <c r="C538" s="12"/>
      <c r="D538" s="12"/>
      <c r="E538" s="12"/>
      <c r="F538" s="12" t="s">
        <v>188</v>
      </c>
      <c r="G538" s="12"/>
      <c r="H538" s="6">
        <v>1477581.31</v>
      </c>
      <c r="I538" s="6"/>
      <c r="J538" s="6"/>
      <c r="Y538" s="298"/>
    </row>
    <row r="539" spans="2:25" ht="15" hidden="1">
      <c r="B539" s="12" t="s">
        <v>189</v>
      </c>
      <c r="C539" s="12"/>
      <c r="D539" s="12"/>
      <c r="E539" s="12"/>
      <c r="F539" s="12"/>
      <c r="G539" s="12"/>
      <c r="H539" s="6">
        <v>37729.34</v>
      </c>
      <c r="I539" s="6"/>
      <c r="J539" s="6"/>
      <c r="Y539" s="298"/>
    </row>
    <row r="540" spans="2:25" ht="15" hidden="1">
      <c r="B540" s="12" t="s">
        <v>190</v>
      </c>
      <c r="C540" s="12"/>
      <c r="D540" s="12"/>
      <c r="E540" s="12"/>
      <c r="F540" s="12"/>
      <c r="G540" s="12"/>
      <c r="H540" s="6">
        <v>0</v>
      </c>
      <c r="I540" s="6"/>
      <c r="J540" s="6"/>
      <c r="Y540" s="298"/>
    </row>
    <row r="541" spans="2:25" ht="15" hidden="1">
      <c r="B541" s="12" t="s">
        <v>191</v>
      </c>
      <c r="C541" s="12"/>
      <c r="D541" s="12"/>
      <c r="E541" s="12"/>
      <c r="F541" s="12"/>
      <c r="G541" s="12"/>
      <c r="H541" s="6">
        <v>0</v>
      </c>
      <c r="I541" s="6"/>
      <c r="J541" s="6"/>
      <c r="Y541" s="298"/>
    </row>
    <row r="542" spans="2:25" ht="15" hidden="1">
      <c r="B542" s="12" t="s">
        <v>192</v>
      </c>
      <c r="C542" s="12"/>
      <c r="D542" s="12"/>
      <c r="E542" s="12"/>
      <c r="F542" s="12"/>
      <c r="G542" s="12"/>
      <c r="H542" s="6">
        <v>1468960.35</v>
      </c>
      <c r="I542" s="6"/>
      <c r="J542" s="6"/>
      <c r="Y542" s="298"/>
    </row>
    <row r="543" spans="2:25" ht="15" hidden="1">
      <c r="B543" s="12" t="s">
        <v>193</v>
      </c>
      <c r="C543" s="12"/>
      <c r="D543" s="12"/>
      <c r="E543" s="12"/>
      <c r="F543" s="12"/>
      <c r="G543" s="12"/>
      <c r="H543" s="6">
        <v>0</v>
      </c>
      <c r="I543" s="6"/>
      <c r="J543" s="6"/>
      <c r="Y543" s="298"/>
    </row>
    <row r="544" spans="2:25" ht="15" hidden="1">
      <c r="B544" s="12" t="s">
        <v>194</v>
      </c>
      <c r="C544" s="12"/>
      <c r="D544" s="12"/>
      <c r="E544" s="12"/>
      <c r="F544" s="12"/>
      <c r="G544" s="12"/>
      <c r="H544" s="6"/>
      <c r="I544" s="6"/>
      <c r="J544" s="6"/>
      <c r="Y544" s="298"/>
    </row>
    <row r="545" spans="2:25" ht="15" hidden="1">
      <c r="B545" s="12" t="s">
        <v>184</v>
      </c>
      <c r="C545" s="12"/>
      <c r="D545" s="12"/>
      <c r="E545" s="12"/>
      <c r="F545" s="12"/>
      <c r="G545" s="12"/>
      <c r="H545" s="6"/>
      <c r="I545" s="6"/>
      <c r="J545" s="6"/>
      <c r="Y545" s="298"/>
    </row>
    <row r="546" spans="2:25" ht="15" hidden="1">
      <c r="B546" s="12" t="s">
        <v>195</v>
      </c>
      <c r="C546" s="12"/>
      <c r="D546" s="12"/>
      <c r="E546" s="12"/>
      <c r="F546" s="12"/>
      <c r="G546" s="12"/>
      <c r="H546" s="6">
        <v>0</v>
      </c>
      <c r="I546" s="6"/>
      <c r="J546" s="6"/>
      <c r="Y546" s="298"/>
    </row>
    <row r="547" spans="2:25" ht="15" hidden="1">
      <c r="B547" s="12" t="s">
        <v>196</v>
      </c>
      <c r="C547" s="12"/>
      <c r="D547" s="12"/>
      <c r="E547" s="12"/>
      <c r="F547" s="12"/>
      <c r="G547" s="12"/>
      <c r="H547" s="6">
        <v>12284.94</v>
      </c>
      <c r="I547" s="6"/>
      <c r="J547" s="6"/>
      <c r="Y547" s="298"/>
    </row>
    <row r="548" spans="2:25" ht="17.25" hidden="1" thickBot="1">
      <c r="B548" s="75" t="s">
        <v>147</v>
      </c>
      <c r="C548" s="12"/>
      <c r="D548" s="12"/>
      <c r="E548" s="12"/>
      <c r="F548" s="12"/>
      <c r="G548" s="12"/>
      <c r="H548" s="18">
        <f>SUM(H530:H547)</f>
        <v>12332185.81</v>
      </c>
      <c r="I548" s="140"/>
      <c r="J548" s="140"/>
      <c r="Y548" s="298"/>
    </row>
    <row r="549" spans="8:25" ht="15" hidden="1">
      <c r="H549" s="162"/>
      <c r="I549" s="162"/>
      <c r="J549" s="162"/>
      <c r="Y549" s="298"/>
    </row>
    <row r="550" spans="2:25" ht="15" hidden="1">
      <c r="B550" s="12" t="s">
        <v>197</v>
      </c>
      <c r="H550" s="162"/>
      <c r="I550" s="162"/>
      <c r="J550" s="162"/>
      <c r="Y550" s="298"/>
    </row>
    <row r="551" spans="2:25" ht="15" hidden="1">
      <c r="B551" s="12" t="s">
        <v>198</v>
      </c>
      <c r="H551" s="162"/>
      <c r="I551" s="162"/>
      <c r="J551" s="162"/>
      <c r="Y551" s="298"/>
    </row>
    <row r="552" spans="2:25" ht="15.75" hidden="1">
      <c r="B552" s="12" t="s">
        <v>199</v>
      </c>
      <c r="C552" s="12"/>
      <c r="D552" s="12"/>
      <c r="E552" s="12"/>
      <c r="F552" s="12"/>
      <c r="G552" s="12"/>
      <c r="H552" s="10"/>
      <c r="I552" s="10"/>
      <c r="J552" s="10"/>
      <c r="Y552" s="298"/>
    </row>
    <row r="553" spans="2:25" ht="15.75" hidden="1">
      <c r="B553" s="12" t="s">
        <v>200</v>
      </c>
      <c r="C553" s="12"/>
      <c r="D553" s="12"/>
      <c r="E553" s="12"/>
      <c r="F553" s="12"/>
      <c r="G553" s="12"/>
      <c r="H553" s="10"/>
      <c r="I553" s="10"/>
      <c r="J553" s="6"/>
      <c r="Y553" s="298"/>
    </row>
    <row r="554" spans="8:25" ht="15" hidden="1">
      <c r="H554" s="163"/>
      <c r="I554" s="163"/>
      <c r="J554" s="163"/>
      <c r="Y554" s="298"/>
    </row>
    <row r="555" ht="15" hidden="1">
      <c r="Y555" s="298"/>
    </row>
    <row r="556" ht="15" hidden="1">
      <c r="Y556" s="298"/>
    </row>
    <row r="557" spans="2:25" ht="26.25" hidden="1">
      <c r="B557" s="111" t="s">
        <v>80</v>
      </c>
      <c r="C557" s="111"/>
      <c r="D557" s="111"/>
      <c r="E557" s="111"/>
      <c r="F557" s="111"/>
      <c r="G557" s="111"/>
      <c r="H557" s="111"/>
      <c r="I557" s="111"/>
      <c r="J557" s="111"/>
      <c r="K557" s="112"/>
      <c r="L557" s="112"/>
      <c r="Y557" s="298"/>
    </row>
    <row r="558" spans="2:25" ht="26.25" customHeight="1" hidden="1">
      <c r="B558" s="12"/>
      <c r="C558" s="111" t="s">
        <v>81</v>
      </c>
      <c r="D558" s="111"/>
      <c r="E558" s="111"/>
      <c r="F558" s="111"/>
      <c r="G558" s="111"/>
      <c r="H558" s="111"/>
      <c r="I558" s="111"/>
      <c r="J558" s="111"/>
      <c r="K558" s="112"/>
      <c r="L558" s="112"/>
      <c r="Y558" s="298"/>
    </row>
    <row r="559" spans="2:25" ht="26.25" hidden="1">
      <c r="B559" s="12"/>
      <c r="C559" s="111" t="s">
        <v>82</v>
      </c>
      <c r="D559" s="111" t="s">
        <v>83</v>
      </c>
      <c r="E559" s="111"/>
      <c r="F559" s="111"/>
      <c r="G559" s="111"/>
      <c r="H559" s="111"/>
      <c r="I559" s="111"/>
      <c r="J559" s="111"/>
      <c r="K559" s="112"/>
      <c r="L559" s="112"/>
      <c r="Y559" s="298"/>
    </row>
    <row r="560" spans="2:25" ht="26.25" hidden="1">
      <c r="B560" s="12"/>
      <c r="C560" s="111" t="s">
        <v>149</v>
      </c>
      <c r="D560" s="111"/>
      <c r="E560" s="111"/>
      <c r="F560" s="111"/>
      <c r="G560" s="111"/>
      <c r="H560" s="111"/>
      <c r="I560" s="111"/>
      <c r="J560" s="111"/>
      <c r="K560" s="112"/>
      <c r="L560" s="112"/>
      <c r="Y560" s="298"/>
    </row>
    <row r="561" spans="5:25" ht="22.5" customHeight="1" hidden="1">
      <c r="E561" s="111" t="s">
        <v>84</v>
      </c>
      <c r="Y561" s="298"/>
    </row>
    <row r="562" spans="5:25" ht="22.5" customHeight="1" hidden="1">
      <c r="E562" s="111"/>
      <c r="Y562" s="298"/>
    </row>
    <row r="563" spans="2:25" ht="22.5" customHeight="1" hidden="1">
      <c r="B563" s="164" t="s">
        <v>201</v>
      </c>
      <c r="E563" s="111"/>
      <c r="Y563" s="298"/>
    </row>
    <row r="564" spans="2:25" ht="13.5" customHeight="1" hidden="1">
      <c r="B564" s="12" t="s">
        <v>202</v>
      </c>
      <c r="E564" s="111"/>
      <c r="Y564" s="298"/>
    </row>
    <row r="565" spans="2:25" ht="13.5" customHeight="1" hidden="1">
      <c r="B565" s="12" t="s">
        <v>203</v>
      </c>
      <c r="E565" s="111"/>
      <c r="Y565" s="298"/>
    </row>
    <row r="566" spans="2:25" ht="13.5" customHeight="1" hidden="1">
      <c r="B566" s="12" t="s">
        <v>204</v>
      </c>
      <c r="E566" s="111"/>
      <c r="Y566" s="298"/>
    </row>
    <row r="567" spans="2:25" ht="13.5" customHeight="1" hidden="1">
      <c r="B567" s="12" t="s">
        <v>205</v>
      </c>
      <c r="E567" s="111"/>
      <c r="Y567" s="298"/>
    </row>
    <row r="568" spans="2:25" ht="13.5" customHeight="1" hidden="1">
      <c r="B568" s="12" t="s">
        <v>206</v>
      </c>
      <c r="Y568" s="298"/>
    </row>
    <row r="569" spans="1:25" ht="13.5" customHeight="1" hidden="1">
      <c r="A569" s="101"/>
      <c r="B569" s="12" t="s">
        <v>207</v>
      </c>
      <c r="C569" s="12"/>
      <c r="D569" s="12"/>
      <c r="E569" s="12"/>
      <c r="F569" s="12"/>
      <c r="G569" s="12"/>
      <c r="H569" s="12"/>
      <c r="I569" s="12"/>
      <c r="J569" s="12"/>
      <c r="Y569" s="298"/>
    </row>
    <row r="570" spans="1:25" ht="13.5" customHeight="1" hidden="1">
      <c r="A570" s="101"/>
      <c r="B570" s="12" t="s">
        <v>208</v>
      </c>
      <c r="C570" s="12"/>
      <c r="D570" s="12"/>
      <c r="E570" s="12"/>
      <c r="F570" s="12"/>
      <c r="G570" s="12"/>
      <c r="H570" s="12"/>
      <c r="I570" s="12"/>
      <c r="J570" s="12"/>
      <c r="Y570" s="298"/>
    </row>
    <row r="571" spans="1:25" ht="13.5" customHeight="1" hidden="1">
      <c r="A571" s="101"/>
      <c r="B571" s="12" t="s">
        <v>209</v>
      </c>
      <c r="C571" s="12"/>
      <c r="D571" s="12"/>
      <c r="E571" s="12"/>
      <c r="F571" s="12"/>
      <c r="G571" s="12"/>
      <c r="H571" s="12"/>
      <c r="I571" s="12"/>
      <c r="J571" s="12"/>
      <c r="Y571" s="298"/>
    </row>
    <row r="572" spans="1:25" ht="13.5" customHeight="1" hidden="1">
      <c r="A572" s="101"/>
      <c r="B572" s="12" t="s">
        <v>210</v>
      </c>
      <c r="C572" s="12"/>
      <c r="D572" s="12"/>
      <c r="E572" s="12"/>
      <c r="F572" s="12"/>
      <c r="G572" s="12"/>
      <c r="H572" s="12"/>
      <c r="I572" s="12"/>
      <c r="J572" s="12"/>
      <c r="Y572" s="298"/>
    </row>
    <row r="573" spans="1:25" ht="13.5" customHeight="1" hidden="1">
      <c r="A573" s="101"/>
      <c r="B573" s="165"/>
      <c r="C573" s="12"/>
      <c r="D573" s="12"/>
      <c r="E573" s="12"/>
      <c r="F573" s="12"/>
      <c r="G573" s="12"/>
      <c r="H573" s="12"/>
      <c r="I573" s="12"/>
      <c r="J573" s="12"/>
      <c r="Y573" s="298"/>
    </row>
    <row r="574" spans="1:25" ht="13.5" customHeight="1" hidden="1">
      <c r="A574" s="101"/>
      <c r="B574" s="165"/>
      <c r="C574" s="12"/>
      <c r="D574" s="12"/>
      <c r="E574" s="12"/>
      <c r="F574" s="12"/>
      <c r="G574" s="12"/>
      <c r="H574" s="12"/>
      <c r="I574" s="12"/>
      <c r="J574" s="12"/>
      <c r="Y574" s="298"/>
    </row>
    <row r="575" spans="1:25" ht="13.5" customHeight="1" hidden="1">
      <c r="A575" s="101"/>
      <c r="B575" s="165"/>
      <c r="C575" s="12"/>
      <c r="D575" s="12"/>
      <c r="E575" s="12"/>
      <c r="F575" s="12"/>
      <c r="G575" s="12"/>
      <c r="H575" s="12"/>
      <c r="I575" s="12"/>
      <c r="J575" s="12"/>
      <c r="Y575" s="298"/>
    </row>
    <row r="576" spans="2:25" ht="16.5" customHeight="1" hidden="1">
      <c r="B576" s="164" t="s">
        <v>211</v>
      </c>
      <c r="C576" s="12"/>
      <c r="D576" s="12"/>
      <c r="E576" s="12"/>
      <c r="F576" s="12"/>
      <c r="G576" s="12"/>
      <c r="H576" s="12"/>
      <c r="I576" s="12"/>
      <c r="J576" s="12"/>
      <c r="Y576" s="298"/>
    </row>
    <row r="577" spans="2:25" ht="16.5" hidden="1">
      <c r="B577" s="75" t="s">
        <v>212</v>
      </c>
      <c r="C577" s="12"/>
      <c r="D577" s="12"/>
      <c r="E577" s="12"/>
      <c r="F577" s="12"/>
      <c r="G577" s="12"/>
      <c r="H577" s="12"/>
      <c r="I577" s="12"/>
      <c r="J577" s="12"/>
      <c r="Y577" s="298"/>
    </row>
    <row r="578" spans="2:25" ht="15" hidden="1">
      <c r="B578" s="12" t="s">
        <v>213</v>
      </c>
      <c r="C578" s="12"/>
      <c r="D578" s="12"/>
      <c r="E578" s="12"/>
      <c r="F578" s="12"/>
      <c r="G578" s="12"/>
      <c r="H578" s="12"/>
      <c r="I578" s="12"/>
      <c r="J578" s="12"/>
      <c r="Y578" s="298"/>
    </row>
    <row r="579" spans="2:25" ht="15" hidden="1">
      <c r="B579" s="12" t="s">
        <v>214</v>
      </c>
      <c r="C579" s="12"/>
      <c r="D579" s="12"/>
      <c r="E579" s="12"/>
      <c r="F579" s="12"/>
      <c r="G579" s="12"/>
      <c r="H579" s="12"/>
      <c r="I579" s="12"/>
      <c r="J579" s="12"/>
      <c r="Y579" s="298"/>
    </row>
    <row r="580" spans="2:25" ht="15" hidden="1">
      <c r="B580" s="12" t="s">
        <v>215</v>
      </c>
      <c r="C580" s="12"/>
      <c r="D580" s="12"/>
      <c r="E580" s="12"/>
      <c r="F580" s="12"/>
      <c r="G580" s="12"/>
      <c r="H580" s="12"/>
      <c r="I580" s="12"/>
      <c r="J580" s="12"/>
      <c r="Y580" s="298"/>
    </row>
    <row r="581" spans="2:25" ht="15" hidden="1">
      <c r="B581" s="12"/>
      <c r="C581" s="12"/>
      <c r="D581" s="12"/>
      <c r="E581" s="12"/>
      <c r="F581" s="12"/>
      <c r="G581" s="12"/>
      <c r="H581" s="12"/>
      <c r="I581" s="12"/>
      <c r="J581" s="12"/>
      <c r="Y581" s="298"/>
    </row>
    <row r="582" spans="2:25" ht="15" hidden="1">
      <c r="B582" s="12" t="s">
        <v>216</v>
      </c>
      <c r="C582" s="12"/>
      <c r="D582" s="12"/>
      <c r="E582" s="12"/>
      <c r="F582" s="12"/>
      <c r="G582" s="12"/>
      <c r="H582" s="16">
        <v>-717521</v>
      </c>
      <c r="I582" s="12"/>
      <c r="J582" s="12"/>
      <c r="Y582" s="298"/>
    </row>
    <row r="583" spans="2:25" ht="15" hidden="1">
      <c r="B583" s="12" t="s">
        <v>217</v>
      </c>
      <c r="C583" s="12"/>
      <c r="D583" s="12"/>
      <c r="E583" s="12"/>
      <c r="F583" s="12"/>
      <c r="G583" s="12"/>
      <c r="H583" s="166">
        <v>-18486776</v>
      </c>
      <c r="I583" s="12"/>
      <c r="J583" s="12"/>
      <c r="Y583" s="298"/>
    </row>
    <row r="584" spans="2:25" ht="17.25" customHeight="1" hidden="1">
      <c r="B584" s="12" t="s">
        <v>218</v>
      </c>
      <c r="C584" s="12"/>
      <c r="D584" s="12"/>
      <c r="E584" s="12"/>
      <c r="F584" s="12"/>
      <c r="G584" s="12"/>
      <c r="H584" s="167">
        <v>26952298</v>
      </c>
      <c r="I584" s="167"/>
      <c r="J584" s="167"/>
      <c r="Y584" s="298"/>
    </row>
    <row r="585" spans="2:25" ht="15" hidden="1">
      <c r="B585" s="12" t="s">
        <v>219</v>
      </c>
      <c r="C585" s="12"/>
      <c r="D585" s="12"/>
      <c r="E585" s="12"/>
      <c r="F585" s="12"/>
      <c r="G585" s="12"/>
      <c r="H585" s="168">
        <v>25001422</v>
      </c>
      <c r="I585" s="168"/>
      <c r="J585" s="168"/>
      <c r="Y585" s="298"/>
    </row>
    <row r="586" spans="2:25" ht="15" hidden="1">
      <c r="B586" s="12" t="s">
        <v>220</v>
      </c>
      <c r="C586" s="12"/>
      <c r="D586" s="12"/>
      <c r="E586" s="12"/>
      <c r="F586" s="12"/>
      <c r="G586" s="12"/>
      <c r="H586" s="169">
        <v>24599237</v>
      </c>
      <c r="I586" s="169"/>
      <c r="J586" s="169"/>
      <c r="Y586" s="298"/>
    </row>
    <row r="587" spans="2:25" ht="15" hidden="1">
      <c r="B587" s="12" t="s">
        <v>221</v>
      </c>
      <c r="C587" s="12"/>
      <c r="D587" s="12"/>
      <c r="E587" s="12"/>
      <c r="F587" s="12"/>
      <c r="G587" s="12"/>
      <c r="H587" s="169">
        <v>-2266914</v>
      </c>
      <c r="I587" s="169"/>
      <c r="J587" s="169"/>
      <c r="Y587" s="298"/>
    </row>
    <row r="588" spans="2:25" ht="15" hidden="1">
      <c r="B588" s="12" t="s">
        <v>222</v>
      </c>
      <c r="C588" s="12"/>
      <c r="D588" s="12"/>
      <c r="E588" s="12"/>
      <c r="F588" s="12"/>
      <c r="G588" s="12"/>
      <c r="H588" s="169">
        <v>-28089207</v>
      </c>
      <c r="I588" s="169"/>
      <c r="J588" s="169"/>
      <c r="Y588" s="298"/>
    </row>
    <row r="589" spans="2:25" ht="15" hidden="1">
      <c r="B589" s="12" t="s">
        <v>223</v>
      </c>
      <c r="C589" s="12"/>
      <c r="D589" s="12"/>
      <c r="E589" s="12"/>
      <c r="F589" s="12"/>
      <c r="G589" s="12"/>
      <c r="H589" s="169">
        <v>-67004676</v>
      </c>
      <c r="I589" s="170"/>
      <c r="J589" s="170"/>
      <c r="Y589" s="298"/>
    </row>
    <row r="590" spans="2:25" ht="15.75" hidden="1" thickBot="1">
      <c r="B590" s="12"/>
      <c r="C590" s="12"/>
      <c r="D590" s="12"/>
      <c r="E590" s="12"/>
      <c r="F590" s="12"/>
      <c r="G590" s="12"/>
      <c r="H590" s="7">
        <f>SUM(H582:H589)</f>
        <v>-40012137</v>
      </c>
      <c r="I590" s="19"/>
      <c r="J590" s="19"/>
      <c r="K590" s="7"/>
      <c r="Y590" s="298"/>
    </row>
    <row r="591" ht="15" hidden="1">
      <c r="Y591" s="298"/>
    </row>
    <row r="592" ht="15" hidden="1">
      <c r="Y592" s="298"/>
    </row>
    <row r="593" spans="2:25" ht="16.5" hidden="1">
      <c r="B593" s="75" t="s">
        <v>212</v>
      </c>
      <c r="Y593" s="298"/>
    </row>
    <row r="594" spans="2:25" ht="15" hidden="1">
      <c r="B594" s="12" t="s">
        <v>224</v>
      </c>
      <c r="Y594" s="298"/>
    </row>
    <row r="595" ht="15" hidden="1">
      <c r="Y595" s="298"/>
    </row>
    <row r="596" spans="2:25" ht="15.75" hidden="1">
      <c r="B596" s="20" t="s">
        <v>225</v>
      </c>
      <c r="C596" s="12"/>
      <c r="D596" s="12"/>
      <c r="E596" s="21" t="s">
        <v>226</v>
      </c>
      <c r="F596" s="21"/>
      <c r="G596" s="21" t="s">
        <v>226</v>
      </c>
      <c r="H596" s="21" t="s">
        <v>227</v>
      </c>
      <c r="I596" s="21"/>
      <c r="J596" s="21"/>
      <c r="Y596" s="298"/>
    </row>
    <row r="597" spans="2:25" ht="15.75" hidden="1">
      <c r="B597" s="12"/>
      <c r="C597" s="12"/>
      <c r="D597" s="12"/>
      <c r="E597" s="22" t="s">
        <v>228</v>
      </c>
      <c r="F597" s="22"/>
      <c r="G597" s="22" t="s">
        <v>229</v>
      </c>
      <c r="H597" s="22" t="s">
        <v>230</v>
      </c>
      <c r="I597" s="22"/>
      <c r="J597" s="22"/>
      <c r="Y597" s="298"/>
    </row>
    <row r="598" spans="2:25" ht="15" hidden="1">
      <c r="B598" s="12" t="s">
        <v>231</v>
      </c>
      <c r="C598" s="12"/>
      <c r="D598" s="12"/>
      <c r="E598" s="23">
        <v>781326</v>
      </c>
      <c r="F598" s="24"/>
      <c r="G598" s="23">
        <v>1140663</v>
      </c>
      <c r="H598" s="24">
        <f>+E598-G598</f>
        <v>-359337</v>
      </c>
      <c r="I598" s="24"/>
      <c r="J598" s="24"/>
      <c r="Y598" s="298"/>
    </row>
    <row r="599" spans="2:25" ht="15" hidden="1">
      <c r="B599" s="12" t="s">
        <v>232</v>
      </c>
      <c r="C599" s="12"/>
      <c r="D599" s="12"/>
      <c r="E599" s="23">
        <v>918262</v>
      </c>
      <c r="F599" s="24"/>
      <c r="G599" s="23">
        <v>859131</v>
      </c>
      <c r="H599" s="24">
        <f aca="true" t="shared" si="0" ref="H599:H609">+E599-G599</f>
        <v>59131</v>
      </c>
      <c r="I599" s="24"/>
      <c r="J599" s="24"/>
      <c r="Y599" s="298"/>
    </row>
    <row r="600" spans="2:25" ht="15" hidden="1">
      <c r="B600" s="12" t="s">
        <v>233</v>
      </c>
      <c r="C600" s="12"/>
      <c r="D600" s="12"/>
      <c r="E600" s="23">
        <v>1123034</v>
      </c>
      <c r="F600" s="24"/>
      <c r="G600" s="23">
        <v>1021517</v>
      </c>
      <c r="H600" s="24">
        <f t="shared" si="0"/>
        <v>101517</v>
      </c>
      <c r="I600" s="24"/>
      <c r="J600" s="24"/>
      <c r="Y600" s="298"/>
    </row>
    <row r="601" spans="2:25" ht="15" hidden="1">
      <c r="B601" s="12" t="s">
        <v>234</v>
      </c>
      <c r="C601" s="12"/>
      <c r="D601" s="12"/>
      <c r="E601" s="23">
        <v>885306</v>
      </c>
      <c r="F601" s="24"/>
      <c r="G601" s="23">
        <v>442653</v>
      </c>
      <c r="H601" s="24">
        <f t="shared" si="0"/>
        <v>442653</v>
      </c>
      <c r="I601" s="24"/>
      <c r="J601" s="24"/>
      <c r="Y601" s="298"/>
    </row>
    <row r="602" spans="2:25" ht="15" hidden="1">
      <c r="B602" s="12" t="s">
        <v>235</v>
      </c>
      <c r="C602" s="12"/>
      <c r="D602" s="12"/>
      <c r="E602" s="23">
        <v>979398</v>
      </c>
      <c r="F602" s="24"/>
      <c r="G602" s="23">
        <v>1493852</v>
      </c>
      <c r="H602" s="24">
        <f t="shared" si="0"/>
        <v>-514454</v>
      </c>
      <c r="I602" s="24"/>
      <c r="J602" s="24"/>
      <c r="Y602" s="298"/>
    </row>
    <row r="603" spans="2:25" ht="15" hidden="1">
      <c r="B603" s="12" t="s">
        <v>236</v>
      </c>
      <c r="C603" s="12"/>
      <c r="D603" s="12"/>
      <c r="E603" s="23">
        <v>998408</v>
      </c>
      <c r="F603" s="24"/>
      <c r="G603" s="23">
        <v>992604</v>
      </c>
      <c r="H603" s="24">
        <f t="shared" si="0"/>
        <v>5804</v>
      </c>
      <c r="I603" s="24"/>
      <c r="J603" s="24"/>
      <c r="Y603" s="298"/>
    </row>
    <row r="604" spans="2:25" ht="15" hidden="1">
      <c r="B604" s="12" t="s">
        <v>237</v>
      </c>
      <c r="C604" s="12"/>
      <c r="D604" s="12"/>
      <c r="E604" s="23">
        <v>985396</v>
      </c>
      <c r="F604" s="24"/>
      <c r="G604" s="23">
        <v>992698</v>
      </c>
      <c r="H604" s="24">
        <f t="shared" si="0"/>
        <v>-7302</v>
      </c>
      <c r="I604" s="24"/>
      <c r="J604" s="24"/>
      <c r="Y604" s="298"/>
    </row>
    <row r="605" spans="2:25" ht="15" hidden="1">
      <c r="B605" s="12" t="s">
        <v>238</v>
      </c>
      <c r="C605" s="12"/>
      <c r="D605" s="12"/>
      <c r="E605" s="23">
        <v>1005228</v>
      </c>
      <c r="F605" s="24"/>
      <c r="G605" s="23">
        <v>1002614</v>
      </c>
      <c r="H605" s="24">
        <f t="shared" si="0"/>
        <v>2614</v>
      </c>
      <c r="I605" s="24"/>
      <c r="J605" s="24"/>
      <c r="Y605" s="298"/>
    </row>
    <row r="606" spans="2:25" ht="15" hidden="1">
      <c r="B606" s="12" t="s">
        <v>239</v>
      </c>
      <c r="C606" s="12"/>
      <c r="D606" s="12"/>
      <c r="E606" s="23">
        <v>1068248</v>
      </c>
      <c r="F606" s="24"/>
      <c r="G606" s="23">
        <v>1036738</v>
      </c>
      <c r="H606" s="24">
        <f t="shared" si="0"/>
        <v>31510</v>
      </c>
      <c r="I606" s="24"/>
      <c r="J606" s="24"/>
      <c r="Y606" s="298"/>
    </row>
    <row r="607" spans="2:25" ht="15" hidden="1">
      <c r="B607" s="12" t="s">
        <v>240</v>
      </c>
      <c r="C607" s="12"/>
      <c r="D607" s="12"/>
      <c r="E607" s="23">
        <v>993330</v>
      </c>
      <c r="F607" s="24"/>
      <c r="G607" s="23">
        <v>1030798</v>
      </c>
      <c r="H607" s="24">
        <f t="shared" si="0"/>
        <v>-37468</v>
      </c>
      <c r="I607" s="24"/>
      <c r="J607" s="24"/>
      <c r="Y607" s="298"/>
    </row>
    <row r="608" spans="2:25" ht="15" hidden="1">
      <c r="B608" s="12" t="s">
        <v>241</v>
      </c>
      <c r="C608" s="12"/>
      <c r="D608" s="12"/>
      <c r="E608" s="23">
        <v>1036456</v>
      </c>
      <c r="F608" s="24"/>
      <c r="G608" s="23">
        <v>1014893</v>
      </c>
      <c r="H608" s="24">
        <f t="shared" si="0"/>
        <v>21563</v>
      </c>
      <c r="I608" s="24"/>
      <c r="J608" s="24"/>
      <c r="Y608" s="298"/>
    </row>
    <row r="609" spans="2:25" ht="15" hidden="1">
      <c r="B609" s="12" t="s">
        <v>242</v>
      </c>
      <c r="C609" s="12"/>
      <c r="D609" s="12"/>
      <c r="E609" s="23">
        <v>908952</v>
      </c>
      <c r="F609" s="24"/>
      <c r="G609" s="23">
        <v>1372704</v>
      </c>
      <c r="H609" s="24">
        <f t="shared" si="0"/>
        <v>-463752</v>
      </c>
      <c r="I609" s="24"/>
      <c r="J609" s="24"/>
      <c r="Y609" s="298"/>
    </row>
    <row r="610" spans="2:25" ht="16.5" hidden="1" thickBot="1">
      <c r="B610" s="25" t="s">
        <v>147</v>
      </c>
      <c r="C610" s="12"/>
      <c r="D610" s="12"/>
      <c r="E610" s="26">
        <f>SUM(E598:E609)</f>
        <v>11683344</v>
      </c>
      <c r="F610" s="24"/>
      <c r="G610" s="26">
        <f>SUM(G598:G609)</f>
        <v>12400865</v>
      </c>
      <c r="H610" s="27">
        <f>SUM(H598:H609)</f>
        <v>-717521</v>
      </c>
      <c r="I610" s="28"/>
      <c r="J610" s="28"/>
      <c r="Y610" s="298"/>
    </row>
    <row r="611" spans="5:25" ht="15" hidden="1">
      <c r="E611" s="163"/>
      <c r="F611" s="163"/>
      <c r="G611" s="163"/>
      <c r="H611" s="163"/>
      <c r="I611" s="163"/>
      <c r="J611" s="163"/>
      <c r="Y611" s="298"/>
    </row>
    <row r="612" spans="5:25" ht="15" hidden="1">
      <c r="E612" s="163"/>
      <c r="F612" s="163"/>
      <c r="G612" s="163"/>
      <c r="H612" s="163"/>
      <c r="I612" s="163"/>
      <c r="J612" s="163"/>
      <c r="Y612" s="298"/>
    </row>
    <row r="613" spans="5:25" ht="15" hidden="1">
      <c r="E613" s="163"/>
      <c r="F613" s="163"/>
      <c r="G613" s="163"/>
      <c r="H613" s="163"/>
      <c r="I613" s="163"/>
      <c r="J613" s="163"/>
      <c r="Y613" s="298"/>
    </row>
    <row r="614" ht="15" hidden="1">
      <c r="Y614" s="298"/>
    </row>
    <row r="615" ht="15" hidden="1">
      <c r="Y615" s="298"/>
    </row>
    <row r="616" ht="15" hidden="1">
      <c r="Y616" s="298"/>
    </row>
    <row r="617" ht="15" hidden="1">
      <c r="Y617" s="298"/>
    </row>
    <row r="618" ht="15" hidden="1">
      <c r="Y618" s="298"/>
    </row>
    <row r="619" ht="15" hidden="1">
      <c r="Y619" s="298"/>
    </row>
    <row r="620" ht="15" hidden="1">
      <c r="Y620" s="298"/>
    </row>
    <row r="621" ht="15" hidden="1">
      <c r="Y621" s="298"/>
    </row>
    <row r="622" ht="15" hidden="1">
      <c r="Y622" s="298"/>
    </row>
    <row r="623" ht="15" hidden="1">
      <c r="Y623" s="298"/>
    </row>
    <row r="624" ht="15" hidden="1">
      <c r="Y624" s="298"/>
    </row>
    <row r="625" ht="15" hidden="1">
      <c r="Y625" s="298"/>
    </row>
    <row r="626" ht="15" hidden="1">
      <c r="Y626" s="298"/>
    </row>
    <row r="627" ht="15" hidden="1">
      <c r="Y627" s="298"/>
    </row>
    <row r="628" ht="15" hidden="1">
      <c r="Y628" s="298"/>
    </row>
    <row r="629" ht="15" hidden="1">
      <c r="Y629" s="298"/>
    </row>
    <row r="630" ht="15" hidden="1">
      <c r="Y630" s="298"/>
    </row>
    <row r="631" ht="15" hidden="1">
      <c r="Y631" s="298"/>
    </row>
    <row r="632" ht="15" hidden="1">
      <c r="Y632" s="298"/>
    </row>
    <row r="633" ht="15" hidden="1">
      <c r="Y633" s="298"/>
    </row>
    <row r="634" ht="15" hidden="1">
      <c r="Y634" s="298"/>
    </row>
    <row r="635" ht="15" hidden="1">
      <c r="Y635" s="298"/>
    </row>
    <row r="636" ht="15" hidden="1">
      <c r="Y636" s="298"/>
    </row>
    <row r="637" ht="15" hidden="1">
      <c r="Y637" s="298"/>
    </row>
    <row r="638" ht="15" hidden="1">
      <c r="Y638" s="298"/>
    </row>
    <row r="639" ht="15" hidden="1">
      <c r="Y639" s="298"/>
    </row>
    <row r="640" ht="15" hidden="1">
      <c r="Y640" s="298"/>
    </row>
    <row r="641" ht="15">
      <c r="Y641" s="298"/>
    </row>
    <row r="642" spans="15:25" ht="15">
      <c r="O642" s="614" t="s">
        <v>660</v>
      </c>
      <c r="P642" s="614"/>
      <c r="Q642" s="614"/>
      <c r="R642" s="225"/>
      <c r="Y642" s="298"/>
    </row>
    <row r="643" spans="2:25" ht="18.75">
      <c r="B643" s="113" t="s">
        <v>647</v>
      </c>
      <c r="C643" s="135"/>
      <c r="D643" s="135"/>
      <c r="E643" s="135"/>
      <c r="F643" s="12"/>
      <c r="G643" s="12"/>
      <c r="H643" s="12"/>
      <c r="O643" s="114">
        <v>2022</v>
      </c>
      <c r="P643" s="114">
        <v>2021</v>
      </c>
      <c r="Q643" s="114">
        <v>2020</v>
      </c>
      <c r="R643" s="114">
        <v>2019</v>
      </c>
      <c r="U643" s="307">
        <v>2018</v>
      </c>
      <c r="V643" s="307">
        <v>2017</v>
      </c>
      <c r="W643" s="312"/>
      <c r="X643" s="312"/>
      <c r="Y643" s="307">
        <v>2016</v>
      </c>
    </row>
    <row r="644" spans="2:25" ht="20.25">
      <c r="B644" s="186" t="s">
        <v>178</v>
      </c>
      <c r="C644" s="135"/>
      <c r="D644" s="135"/>
      <c r="E644" s="135"/>
      <c r="F644" s="12"/>
      <c r="G644" s="12"/>
      <c r="H644" s="12"/>
      <c r="Y644" s="298"/>
    </row>
    <row r="645" spans="2:25" ht="15.75">
      <c r="B645" s="63" t="s">
        <v>179</v>
      </c>
      <c r="C645" s="12"/>
      <c r="D645" s="12"/>
      <c r="E645" s="12"/>
      <c r="F645" s="12"/>
      <c r="G645" s="12"/>
      <c r="H645" s="12"/>
      <c r="Y645" s="298"/>
    </row>
    <row r="646" spans="2:25" ht="15">
      <c r="B646" s="12"/>
      <c r="C646" s="12"/>
      <c r="D646" s="12"/>
      <c r="E646" s="12"/>
      <c r="F646" s="12"/>
      <c r="G646" s="12"/>
      <c r="H646" s="12"/>
      <c r="Y646" s="298"/>
    </row>
    <row r="647" spans="2:25" ht="15.75">
      <c r="B647" s="63" t="s">
        <v>180</v>
      </c>
      <c r="C647" s="12"/>
      <c r="D647" s="12"/>
      <c r="E647" s="12"/>
      <c r="F647" s="12"/>
      <c r="G647" s="12"/>
      <c r="H647" s="30">
        <f>793245.34-0.1</f>
        <v>793245.24</v>
      </c>
      <c r="I647" s="171"/>
      <c r="J647" s="171"/>
      <c r="O647" s="230">
        <v>4007697.12</v>
      </c>
      <c r="P647" s="204">
        <v>7549.29</v>
      </c>
      <c r="Q647" s="78">
        <v>43058.41</v>
      </c>
      <c r="R647" s="78">
        <v>2335566.3</v>
      </c>
      <c r="U647" s="118">
        <v>1673757.94</v>
      </c>
      <c r="Y647" s="298"/>
    </row>
    <row r="648" spans="2:39" ht="15.75">
      <c r="B648" s="63" t="s">
        <v>484</v>
      </c>
      <c r="C648" s="63"/>
      <c r="D648" s="63"/>
      <c r="E648" s="63"/>
      <c r="F648" s="63"/>
      <c r="G648" s="63"/>
      <c r="H648" s="64">
        <v>598703.81</v>
      </c>
      <c r="I648" s="116"/>
      <c r="J648" s="116"/>
      <c r="K648" s="116"/>
      <c r="L648" s="116"/>
      <c r="M648" s="116"/>
      <c r="N648" s="116"/>
      <c r="O648" s="230">
        <f>553065.82-338.99</f>
        <v>552726.83</v>
      </c>
      <c r="P648" s="204">
        <v>680980.48</v>
      </c>
      <c r="Q648" s="78">
        <v>504278</v>
      </c>
      <c r="R648" s="78">
        <v>956395.64</v>
      </c>
      <c r="S648" s="119"/>
      <c r="T648" s="119"/>
      <c r="U648" s="118">
        <v>773909.26</v>
      </c>
      <c r="V648" s="118">
        <v>499750.62</v>
      </c>
      <c r="W648" s="119"/>
      <c r="X648" s="119"/>
      <c r="Y648" s="118">
        <v>487148.64</v>
      </c>
      <c r="AM648" s="548">
        <f>+O523+O667+O709</f>
        <v>27568205.83</v>
      </c>
    </row>
    <row r="649" spans="2:25" ht="15.75" hidden="1">
      <c r="B649" s="63" t="s">
        <v>270</v>
      </c>
      <c r="C649" s="63"/>
      <c r="D649" s="63"/>
      <c r="E649" s="63"/>
      <c r="F649" s="63"/>
      <c r="G649" s="63"/>
      <c r="H649" s="64">
        <f>136369.28+4237.29</f>
        <v>140606.57</v>
      </c>
      <c r="I649" s="116"/>
      <c r="J649" s="116"/>
      <c r="K649" s="116"/>
      <c r="L649" s="116"/>
      <c r="M649" s="116"/>
      <c r="N649" s="116"/>
      <c r="O649" s="132"/>
      <c r="P649" s="132"/>
      <c r="Q649" s="116"/>
      <c r="R649" s="78">
        <v>76694.14</v>
      </c>
      <c r="S649" s="119"/>
      <c r="T649" s="119"/>
      <c r="U649" s="118">
        <v>78629.06</v>
      </c>
      <c r="V649" s="118">
        <v>130607.84</v>
      </c>
      <c r="W649" s="119"/>
      <c r="X649" s="119"/>
      <c r="Y649" s="118">
        <v>102198.08</v>
      </c>
    </row>
    <row r="650" spans="2:25" ht="15.75">
      <c r="B650" s="63" t="s">
        <v>268</v>
      </c>
      <c r="C650" s="63"/>
      <c r="D650" s="63"/>
      <c r="E650" s="63"/>
      <c r="F650" s="63"/>
      <c r="G650" s="63"/>
      <c r="H650" s="64"/>
      <c r="I650" s="132"/>
      <c r="J650" s="116"/>
      <c r="K650" s="116"/>
      <c r="L650" s="116"/>
      <c r="M650" s="116"/>
      <c r="N650" s="116"/>
      <c r="O650" s="230">
        <v>423.73</v>
      </c>
      <c r="P650" s="204">
        <v>423.73</v>
      </c>
      <c r="Q650" s="78">
        <v>423.73</v>
      </c>
      <c r="R650" s="78">
        <v>423.73</v>
      </c>
      <c r="S650" s="119"/>
      <c r="T650" s="119"/>
      <c r="U650" s="118">
        <v>423.73</v>
      </c>
      <c r="V650" s="118">
        <v>423.73</v>
      </c>
      <c r="W650" s="119"/>
      <c r="X650" s="119"/>
      <c r="Y650" s="118">
        <v>423.73</v>
      </c>
    </row>
    <row r="651" spans="2:25" ht="15.75" hidden="1">
      <c r="B651" s="63" t="s">
        <v>512</v>
      </c>
      <c r="C651" s="116"/>
      <c r="D651" s="116"/>
      <c r="E651" s="116"/>
      <c r="F651" s="116"/>
      <c r="G651" s="116"/>
      <c r="H651" s="116"/>
      <c r="I651" s="116"/>
      <c r="J651" s="116"/>
      <c r="K651" s="116"/>
      <c r="L651" s="116"/>
      <c r="M651" s="116"/>
      <c r="N651" s="116"/>
      <c r="O651" s="230"/>
      <c r="P651" s="204"/>
      <c r="Q651" s="78"/>
      <c r="R651" s="78">
        <v>31600</v>
      </c>
      <c r="S651" s="119"/>
      <c r="T651" s="119"/>
      <c r="U651" s="118">
        <v>11110</v>
      </c>
      <c r="V651" s="118">
        <v>28250</v>
      </c>
      <c r="W651" s="119"/>
      <c r="X651" s="119"/>
      <c r="Y651" s="118">
        <v>25400</v>
      </c>
    </row>
    <row r="652" spans="2:25" ht="15.75" hidden="1">
      <c r="B652" s="63" t="s">
        <v>184</v>
      </c>
      <c r="C652" s="63"/>
      <c r="D652" s="63"/>
      <c r="E652" s="63"/>
      <c r="F652" s="63"/>
      <c r="G652" s="63"/>
      <c r="H652" s="64"/>
      <c r="I652" s="116"/>
      <c r="J652" s="116"/>
      <c r="K652" s="116"/>
      <c r="L652" s="116"/>
      <c r="M652" s="116"/>
      <c r="N652" s="116"/>
      <c r="O652" s="132"/>
      <c r="P652" s="132"/>
      <c r="Q652" s="116"/>
      <c r="R652" s="78"/>
      <c r="S652" s="119"/>
      <c r="T652" s="119"/>
      <c r="U652" s="118"/>
      <c r="V652" s="118"/>
      <c r="W652" s="119"/>
      <c r="X652" s="119"/>
      <c r="Y652" s="118"/>
    </row>
    <row r="653" spans="2:25" ht="15.75" hidden="1">
      <c r="B653" s="63" t="s">
        <v>189</v>
      </c>
      <c r="C653" s="63"/>
      <c r="D653" s="63"/>
      <c r="E653" s="63"/>
      <c r="F653" s="63"/>
      <c r="G653" s="63"/>
      <c r="H653" s="64"/>
      <c r="I653" s="116"/>
      <c r="J653" s="116"/>
      <c r="K653" s="116"/>
      <c r="L653" s="116"/>
      <c r="M653" s="116"/>
      <c r="N653" s="116"/>
      <c r="O653" s="230"/>
      <c r="P653" s="204"/>
      <c r="Q653" s="78"/>
      <c r="R653" s="78">
        <v>1429.25</v>
      </c>
      <c r="S653" s="119"/>
      <c r="T653" s="119"/>
      <c r="U653" s="118">
        <v>691.15</v>
      </c>
      <c r="V653" s="118">
        <v>172.45</v>
      </c>
      <c r="W653" s="119"/>
      <c r="X653" s="119"/>
      <c r="Y653" s="118">
        <v>172.45</v>
      </c>
    </row>
    <row r="654" spans="2:25" ht="15.75" hidden="1">
      <c r="B654" s="63" t="s">
        <v>185</v>
      </c>
      <c r="C654" s="63"/>
      <c r="D654" s="63"/>
      <c r="E654" s="63"/>
      <c r="F654" s="63"/>
      <c r="G654" s="63"/>
      <c r="H654" s="79">
        <v>400</v>
      </c>
      <c r="I654" s="116"/>
      <c r="J654" s="116"/>
      <c r="K654" s="116"/>
      <c r="L654" s="116"/>
      <c r="M654" s="116"/>
      <c r="N654" s="116"/>
      <c r="O654" s="230"/>
      <c r="P654" s="204"/>
      <c r="Q654" s="78">
        <v>400</v>
      </c>
      <c r="R654" s="78"/>
      <c r="S654" s="119"/>
      <c r="T654" s="119"/>
      <c r="U654" s="118">
        <v>300</v>
      </c>
      <c r="V654" s="118"/>
      <c r="W654" s="119"/>
      <c r="X654" s="119"/>
      <c r="Y654" s="118"/>
    </row>
    <row r="655" spans="2:25" ht="15.75" hidden="1">
      <c r="B655" s="63" t="s">
        <v>186</v>
      </c>
      <c r="C655" s="63"/>
      <c r="D655" s="63"/>
      <c r="E655" s="63"/>
      <c r="F655" s="63"/>
      <c r="G655" s="63"/>
      <c r="H655" s="64"/>
      <c r="I655" s="116"/>
      <c r="J655" s="116"/>
      <c r="K655" s="116"/>
      <c r="L655" s="116"/>
      <c r="M655" s="116"/>
      <c r="N655" s="116"/>
      <c r="O655" s="132"/>
      <c r="P655" s="132"/>
      <c r="Q655" s="116"/>
      <c r="R655" s="78"/>
      <c r="S655" s="119"/>
      <c r="T655" s="119"/>
      <c r="U655" s="118"/>
      <c r="V655" s="118"/>
      <c r="W655" s="119"/>
      <c r="X655" s="119"/>
      <c r="Y655" s="118"/>
    </row>
    <row r="656" spans="2:25" ht="15.75">
      <c r="B656" s="63" t="s">
        <v>269</v>
      </c>
      <c r="C656" s="63"/>
      <c r="D656" s="63"/>
      <c r="E656" s="63"/>
      <c r="F656" s="63"/>
      <c r="G656" s="63"/>
      <c r="H656" s="64">
        <v>680799.35</v>
      </c>
      <c r="I656" s="116"/>
      <c r="J656" s="116"/>
      <c r="K656" s="116"/>
      <c r="L656" s="116"/>
      <c r="M656" s="116"/>
      <c r="N656" s="116"/>
      <c r="O656" s="230">
        <f>9000+326396.5-366.11</f>
        <v>335030.39</v>
      </c>
      <c r="P656" s="204">
        <v>255962.14</v>
      </c>
      <c r="Q656" s="78">
        <v>289379.79</v>
      </c>
      <c r="R656" s="78">
        <v>288901.43</v>
      </c>
      <c r="S656" s="119"/>
      <c r="T656" s="119"/>
      <c r="U656" s="118">
        <v>358486.19</v>
      </c>
      <c r="V656" s="118">
        <f>1053992.55-659437.66</f>
        <v>394554.89</v>
      </c>
      <c r="W656" s="119"/>
      <c r="X656" s="119"/>
      <c r="Y656" s="118">
        <f>-1883589.72+2344899.77</f>
        <v>461310.05000000005</v>
      </c>
    </row>
    <row r="657" spans="2:25" ht="15.75" hidden="1">
      <c r="B657" s="63" t="s">
        <v>190</v>
      </c>
      <c r="C657" s="63"/>
      <c r="D657" s="63"/>
      <c r="E657" s="63"/>
      <c r="F657" s="63"/>
      <c r="G657" s="63"/>
      <c r="H657" s="64">
        <v>96783.91</v>
      </c>
      <c r="I657" s="116"/>
      <c r="J657" s="116"/>
      <c r="K657" s="116"/>
      <c r="L657" s="116"/>
      <c r="M657" s="116"/>
      <c r="N657" s="116"/>
      <c r="O657" s="230"/>
      <c r="P657" s="204"/>
      <c r="Q657" s="78">
        <v>86831.73</v>
      </c>
      <c r="R657" s="78"/>
      <c r="S657" s="119"/>
      <c r="T657" s="119"/>
      <c r="U657" s="118">
        <v>167317.49</v>
      </c>
      <c r="V657" s="118"/>
      <c r="W657" s="119"/>
      <c r="X657" s="119"/>
      <c r="Y657" s="118"/>
    </row>
    <row r="658" spans="1:25" ht="15.75">
      <c r="A658" s="172"/>
      <c r="B658" s="63" t="s">
        <v>674</v>
      </c>
      <c r="C658" s="63"/>
      <c r="D658" s="63"/>
      <c r="E658" s="63"/>
      <c r="F658" s="63"/>
      <c r="G658" s="63"/>
      <c r="H658" s="64"/>
      <c r="I658" s="116"/>
      <c r="J658" s="116"/>
      <c r="K658" s="116"/>
      <c r="L658" s="116"/>
      <c r="M658" s="116"/>
      <c r="N658" s="116"/>
      <c r="O658" s="230"/>
      <c r="P658" s="204">
        <v>39450.71</v>
      </c>
      <c r="Q658" s="78">
        <v>49826.67</v>
      </c>
      <c r="R658" s="78"/>
      <c r="S658" s="119"/>
      <c r="T658" s="119"/>
      <c r="U658" s="118"/>
      <c r="V658" s="118"/>
      <c r="W658" s="119"/>
      <c r="X658" s="119"/>
      <c r="Y658" s="118"/>
    </row>
    <row r="659" spans="1:25" ht="15.75">
      <c r="A659" s="172"/>
      <c r="B659" s="63" t="s">
        <v>192</v>
      </c>
      <c r="C659" s="63"/>
      <c r="D659" s="63"/>
      <c r="E659" s="63"/>
      <c r="F659" s="63"/>
      <c r="G659" s="63"/>
      <c r="H659" s="64"/>
      <c r="I659" s="116"/>
      <c r="J659" s="116"/>
      <c r="K659" s="116"/>
      <c r="L659" s="116"/>
      <c r="M659" s="116"/>
      <c r="N659" s="116"/>
      <c r="O659" s="230"/>
      <c r="P659" s="204">
        <v>110910.63</v>
      </c>
      <c r="Q659" s="116"/>
      <c r="R659" s="78">
        <f>400+1746.68</f>
        <v>2146.6800000000003</v>
      </c>
      <c r="S659" s="119"/>
      <c r="T659" s="119"/>
      <c r="U659" s="118">
        <v>400</v>
      </c>
      <c r="V659" s="118"/>
      <c r="W659" s="119"/>
      <c r="X659" s="119"/>
      <c r="Y659" s="118"/>
    </row>
    <row r="660" spans="2:25" ht="15.75">
      <c r="B660" s="63" t="s">
        <v>594</v>
      </c>
      <c r="C660" s="63"/>
      <c r="D660" s="63"/>
      <c r="E660" s="63"/>
      <c r="F660" s="63"/>
      <c r="G660" s="63"/>
      <c r="H660" s="64"/>
      <c r="I660" s="116"/>
      <c r="J660" s="116"/>
      <c r="K660" s="116"/>
      <c r="L660" s="116"/>
      <c r="M660" s="116"/>
      <c r="N660" s="116"/>
      <c r="O660" s="518">
        <v>17339441.26</v>
      </c>
      <c r="P660" s="132"/>
      <c r="Q660" s="116"/>
      <c r="R660" s="78">
        <v>12240872.34</v>
      </c>
      <c r="S660" s="119"/>
      <c r="T660" s="119"/>
      <c r="U660" s="118">
        <v>8119286.78</v>
      </c>
      <c r="V660" s="118"/>
      <c r="W660" s="119"/>
      <c r="X660" s="119"/>
      <c r="Y660" s="118"/>
    </row>
    <row r="661" spans="2:41" s="172" customFormat="1" ht="15.75">
      <c r="B661" s="63" t="s">
        <v>706</v>
      </c>
      <c r="C661" s="63"/>
      <c r="D661" s="63"/>
      <c r="E661" s="63"/>
      <c r="F661" s="63"/>
      <c r="G661" s="63"/>
      <c r="H661" s="64"/>
      <c r="I661" s="132"/>
      <c r="J661" s="132"/>
      <c r="K661" s="132"/>
      <c r="L661" s="132"/>
      <c r="M661" s="132"/>
      <c r="N661" s="132"/>
      <c r="O661" s="230"/>
      <c r="P661" s="204">
        <v>336800.85</v>
      </c>
      <c r="Q661" s="132"/>
      <c r="R661" s="204"/>
      <c r="S661" s="119"/>
      <c r="T661" s="119"/>
      <c r="U661" s="118"/>
      <c r="V661" s="118"/>
      <c r="W661" s="119"/>
      <c r="X661" s="119"/>
      <c r="Y661" s="118"/>
      <c r="Z661" s="129"/>
      <c r="AA661" s="129"/>
      <c r="AB661" s="129"/>
      <c r="AC661" s="129"/>
      <c r="AD661" s="129"/>
      <c r="AE661" s="129"/>
      <c r="AF661" s="129"/>
      <c r="AL661" s="129"/>
      <c r="AM661" s="344"/>
      <c r="AN661" s="129"/>
      <c r="AO661" s="129"/>
    </row>
    <row r="662" spans="2:41" s="172" customFormat="1" ht="15.75">
      <c r="B662" s="63" t="s">
        <v>707</v>
      </c>
      <c r="C662" s="63"/>
      <c r="D662" s="63"/>
      <c r="E662" s="63"/>
      <c r="F662" s="63"/>
      <c r="G662" s="63"/>
      <c r="H662" s="64"/>
      <c r="I662" s="132"/>
      <c r="J662" s="132"/>
      <c r="K662" s="132"/>
      <c r="L662" s="132"/>
      <c r="M662" s="132"/>
      <c r="N662" s="132"/>
      <c r="O662" s="230"/>
      <c r="P662" s="204">
        <v>403659.68</v>
      </c>
      <c r="Q662" s="132"/>
      <c r="R662" s="204"/>
      <c r="S662" s="119"/>
      <c r="T662" s="119"/>
      <c r="U662" s="118"/>
      <c r="V662" s="118"/>
      <c r="W662" s="119"/>
      <c r="X662" s="119"/>
      <c r="Y662" s="118"/>
      <c r="Z662" s="129"/>
      <c r="AA662" s="129"/>
      <c r="AB662" s="129"/>
      <c r="AC662" s="129"/>
      <c r="AD662" s="129"/>
      <c r="AE662" s="129"/>
      <c r="AF662" s="129"/>
      <c r="AL662" s="129"/>
      <c r="AM662" s="344"/>
      <c r="AN662" s="129"/>
      <c r="AO662" s="129"/>
    </row>
    <row r="663" spans="2:25" ht="15.75" hidden="1">
      <c r="B663" s="63" t="s">
        <v>175</v>
      </c>
      <c r="C663" s="63"/>
      <c r="D663" s="63"/>
      <c r="E663" s="63"/>
      <c r="F663" s="63"/>
      <c r="G663" s="63"/>
      <c r="H663" s="64">
        <v>7188.77</v>
      </c>
      <c r="I663" s="116"/>
      <c r="J663" s="116"/>
      <c r="K663" s="116"/>
      <c r="L663" s="116"/>
      <c r="M663" s="116"/>
      <c r="N663" s="116"/>
      <c r="O663" s="230"/>
      <c r="P663" s="204"/>
      <c r="Q663" s="78">
        <v>349647.65</v>
      </c>
      <c r="R663" s="78"/>
      <c r="S663" s="119"/>
      <c r="T663" s="119"/>
      <c r="U663" s="118">
        <v>907266.18</v>
      </c>
      <c r="V663" s="118"/>
      <c r="W663" s="119"/>
      <c r="X663" s="119"/>
      <c r="Y663" s="118"/>
    </row>
    <row r="664" spans="2:41" s="172" customFormat="1" ht="15.75">
      <c r="B664" s="63" t="s">
        <v>705</v>
      </c>
      <c r="C664" s="63"/>
      <c r="D664" s="63"/>
      <c r="E664" s="63"/>
      <c r="F664" s="63"/>
      <c r="G664" s="63"/>
      <c r="H664" s="64"/>
      <c r="I664" s="132"/>
      <c r="J664" s="132"/>
      <c r="K664" s="132"/>
      <c r="L664" s="132"/>
      <c r="M664" s="132"/>
      <c r="N664" s="132"/>
      <c r="O664" s="230"/>
      <c r="P664" s="204">
        <v>120000</v>
      </c>
      <c r="Q664" s="204"/>
      <c r="R664" s="204"/>
      <c r="S664" s="119"/>
      <c r="T664" s="119"/>
      <c r="U664" s="118"/>
      <c r="V664" s="118"/>
      <c r="W664" s="119"/>
      <c r="X664" s="119"/>
      <c r="Y664" s="118"/>
      <c r="Z664" s="129"/>
      <c r="AA664" s="129"/>
      <c r="AB664" s="129"/>
      <c r="AC664" s="129"/>
      <c r="AD664" s="129"/>
      <c r="AE664" s="129"/>
      <c r="AF664" s="129"/>
      <c r="AL664" s="129"/>
      <c r="AM664" s="344"/>
      <c r="AN664" s="129"/>
      <c r="AO664" s="129"/>
    </row>
    <row r="665" spans="2:25" ht="15.75">
      <c r="B665" s="63" t="s">
        <v>267</v>
      </c>
      <c r="C665" s="63"/>
      <c r="D665" s="63"/>
      <c r="E665" s="63"/>
      <c r="F665" s="63"/>
      <c r="G665" s="63"/>
      <c r="H665" s="64"/>
      <c r="I665" s="116"/>
      <c r="J665" s="116"/>
      <c r="K665" s="116"/>
      <c r="L665" s="116"/>
      <c r="M665" s="116"/>
      <c r="N665" s="116"/>
      <c r="O665" s="91">
        <v>45145</v>
      </c>
      <c r="P665" s="91">
        <v>45145</v>
      </c>
      <c r="Q665" s="91">
        <v>2714</v>
      </c>
      <c r="R665" s="78"/>
      <c r="S665" s="119"/>
      <c r="T665" s="119"/>
      <c r="U665" s="118"/>
      <c r="V665" s="118"/>
      <c r="W665" s="119"/>
      <c r="X665" s="119"/>
      <c r="Y665" s="118"/>
    </row>
    <row r="666" spans="2:25" ht="15.75">
      <c r="B666" s="63" t="s">
        <v>176</v>
      </c>
      <c r="C666" s="63"/>
      <c r="D666" s="63"/>
      <c r="E666" s="63"/>
      <c r="F666" s="63"/>
      <c r="G666" s="63"/>
      <c r="H666" s="65">
        <v>136293</v>
      </c>
      <c r="I666" s="65"/>
      <c r="J666" s="65"/>
      <c r="K666" s="116"/>
      <c r="L666" s="116"/>
      <c r="M666" s="116"/>
      <c r="N666" s="116"/>
      <c r="O666" s="88">
        <v>105391</v>
      </c>
      <c r="P666" s="88">
        <v>131746</v>
      </c>
      <c r="Q666" s="88">
        <v>214599</v>
      </c>
      <c r="R666" s="88">
        <v>106633</v>
      </c>
      <c r="S666" s="119"/>
      <c r="T666" s="119"/>
      <c r="U666" s="294">
        <v>47029</v>
      </c>
      <c r="V666" s="294">
        <v>83549</v>
      </c>
      <c r="W666" s="119"/>
      <c r="X666" s="119"/>
      <c r="Y666" s="294">
        <v>99285</v>
      </c>
    </row>
    <row r="667" spans="2:39" ht="19.5" thickBot="1">
      <c r="B667" s="75" t="s">
        <v>648</v>
      </c>
      <c r="C667" s="12"/>
      <c r="D667" s="12"/>
      <c r="E667" s="12"/>
      <c r="F667" s="12"/>
      <c r="G667" s="12"/>
      <c r="H667" s="45">
        <f>SUM(H647:H666)</f>
        <v>2454020.6500000004</v>
      </c>
      <c r="O667" s="211">
        <f>SUM(O647:O666)</f>
        <v>22385855.330000002</v>
      </c>
      <c r="P667" s="211">
        <f>SUM(P647:P666)</f>
        <v>2132628.51</v>
      </c>
      <c r="Q667" s="211">
        <f>SUM(Q647:Q666)</f>
        <v>1541158.98</v>
      </c>
      <c r="R667" s="211">
        <f>SUM(R647:R666)</f>
        <v>16040662.51</v>
      </c>
      <c r="U667" s="333">
        <f>SUM(U647:U666)</f>
        <v>12138606.780000001</v>
      </c>
      <c r="V667" s="333">
        <f>SUM(V647:V666)</f>
        <v>1137308.5299999998</v>
      </c>
      <c r="Y667" s="333">
        <f>SUM(Y647:Y666)</f>
        <v>1175937.95</v>
      </c>
      <c r="AM667" s="586"/>
    </row>
    <row r="668" spans="15:25" ht="15.75" thickTop="1">
      <c r="O668" s="517"/>
      <c r="Y668" s="298"/>
    </row>
    <row r="669" spans="1:25" ht="15.75" hidden="1">
      <c r="A669" s="3" t="s">
        <v>97</v>
      </c>
      <c r="B669" s="63" t="s">
        <v>569</v>
      </c>
      <c r="Y669" s="298"/>
    </row>
    <row r="670" spans="1:25" ht="15.75" hidden="1">
      <c r="A670" s="3" t="s">
        <v>97</v>
      </c>
      <c r="B670" s="63" t="s">
        <v>570</v>
      </c>
      <c r="Y670" s="298"/>
    </row>
    <row r="671" spans="1:25" ht="15.75" hidden="1">
      <c r="A671" s="3" t="s">
        <v>97</v>
      </c>
      <c r="B671" s="63" t="s">
        <v>571</v>
      </c>
      <c r="Y671" s="298"/>
    </row>
    <row r="672" spans="1:25" ht="15.75" hidden="1">
      <c r="A672" s="3" t="s">
        <v>97</v>
      </c>
      <c r="B672" s="63" t="s">
        <v>572</v>
      </c>
      <c r="Y672" s="298"/>
    </row>
    <row r="673" spans="1:25" ht="15.75" hidden="1">
      <c r="A673" s="3" t="s">
        <v>97</v>
      </c>
      <c r="B673" s="63" t="s">
        <v>574</v>
      </c>
      <c r="Y673" s="298"/>
    </row>
    <row r="674" spans="1:25" ht="15.75" hidden="1">
      <c r="A674" s="3" t="s">
        <v>97</v>
      </c>
      <c r="B674" s="63" t="s">
        <v>573</v>
      </c>
      <c r="Y674" s="298"/>
    </row>
    <row r="675" spans="1:25" ht="15.75" hidden="1">
      <c r="A675" s="3" t="s">
        <v>97</v>
      </c>
      <c r="B675" s="63" t="s">
        <v>575</v>
      </c>
      <c r="Y675" s="298"/>
    </row>
    <row r="676" spans="2:25" ht="16.5">
      <c r="B676" s="223" t="s">
        <v>1104</v>
      </c>
      <c r="O676" s="536"/>
      <c r="Y676" s="298"/>
    </row>
    <row r="677" spans="2:25" ht="18.75" hidden="1">
      <c r="B677" s="223" t="s">
        <v>568</v>
      </c>
      <c r="C677" s="135"/>
      <c r="D677" s="135"/>
      <c r="E677" s="135"/>
      <c r="F677" s="12"/>
      <c r="G677" s="12"/>
      <c r="H677" s="12"/>
      <c r="I677" s="12"/>
      <c r="J677" s="12"/>
      <c r="Y677" s="298"/>
    </row>
    <row r="678" spans="2:25" ht="18.75" hidden="1">
      <c r="B678" s="223" t="s">
        <v>165</v>
      </c>
      <c r="C678" s="135"/>
      <c r="D678" s="135"/>
      <c r="E678" s="135"/>
      <c r="F678" s="12"/>
      <c r="G678" s="12"/>
      <c r="H678" s="12"/>
      <c r="I678" s="12"/>
      <c r="J678" s="12"/>
      <c r="Y678" s="298"/>
    </row>
    <row r="679" spans="2:25" ht="16.5" hidden="1">
      <c r="B679" s="223" t="s">
        <v>166</v>
      </c>
      <c r="C679" s="12"/>
      <c r="D679" s="12"/>
      <c r="E679" s="12"/>
      <c r="F679" s="12"/>
      <c r="G679" s="12"/>
      <c r="H679" s="12"/>
      <c r="I679" s="12"/>
      <c r="J679" s="12"/>
      <c r="Y679" s="298"/>
    </row>
    <row r="680" spans="2:25" ht="16.5" hidden="1">
      <c r="B680" s="223" t="s">
        <v>562</v>
      </c>
      <c r="C680" s="12"/>
      <c r="D680" s="12"/>
      <c r="E680" s="12"/>
      <c r="F680" s="12"/>
      <c r="G680" s="12"/>
      <c r="H680" s="12"/>
      <c r="I680" s="12"/>
      <c r="J680" s="12"/>
      <c r="Y680" s="298"/>
    </row>
    <row r="681" spans="2:25" ht="16.5" hidden="1">
      <c r="B681" s="223" t="s">
        <v>167</v>
      </c>
      <c r="C681" s="12"/>
      <c r="D681" s="12"/>
      <c r="E681" s="12"/>
      <c r="F681" s="12"/>
      <c r="G681" s="12"/>
      <c r="H681" s="12"/>
      <c r="I681" s="12"/>
      <c r="J681" s="12"/>
      <c r="Y681" s="298"/>
    </row>
    <row r="682" spans="2:25" ht="16.5" hidden="1">
      <c r="B682" s="223" t="s">
        <v>502</v>
      </c>
      <c r="C682" s="12"/>
      <c r="D682" s="12"/>
      <c r="E682" s="12"/>
      <c r="F682" s="12"/>
      <c r="G682" s="12"/>
      <c r="H682" s="12"/>
      <c r="I682" s="12"/>
      <c r="J682" s="12"/>
      <c r="Y682" s="298"/>
    </row>
    <row r="683" spans="2:25" ht="16.5" hidden="1">
      <c r="B683" s="223" t="s">
        <v>563</v>
      </c>
      <c r="C683" s="12"/>
      <c r="D683" s="12"/>
      <c r="E683" s="12"/>
      <c r="F683" s="12"/>
      <c r="G683" s="12"/>
      <c r="H683" s="12"/>
      <c r="I683" s="12"/>
      <c r="J683" s="12"/>
      <c r="Y683" s="298"/>
    </row>
    <row r="684" spans="2:25" ht="16.5" hidden="1">
      <c r="B684" s="223" t="s">
        <v>564</v>
      </c>
      <c r="Y684" s="298"/>
    </row>
    <row r="685" spans="2:25" ht="16.5" hidden="1">
      <c r="B685" s="223" t="s">
        <v>565</v>
      </c>
      <c r="Y685" s="298"/>
    </row>
    <row r="686" spans="2:25" ht="16.5">
      <c r="B686" s="223" t="s">
        <v>1095</v>
      </c>
      <c r="O686" s="543">
        <f>+O523+O667</f>
        <v>27458548.11</v>
      </c>
      <c r="Y686" s="298"/>
    </row>
    <row r="687" spans="15:25" ht="15">
      <c r="O687" s="522"/>
      <c r="Y687" s="298"/>
    </row>
    <row r="688" ht="15">
      <c r="Y688" s="298"/>
    </row>
    <row r="689" spans="2:41" s="172" customFormat="1" ht="16.5">
      <c r="B689" s="75"/>
      <c r="C689" s="12"/>
      <c r="D689" s="12"/>
      <c r="E689" s="12"/>
      <c r="F689" s="25"/>
      <c r="G689" s="12"/>
      <c r="H689" s="6"/>
      <c r="I689" s="6"/>
      <c r="J689" s="6"/>
      <c r="O689" s="614" t="s">
        <v>660</v>
      </c>
      <c r="P689" s="614"/>
      <c r="Q689" s="614"/>
      <c r="R689" s="225"/>
      <c r="S689" s="129"/>
      <c r="T689" s="129"/>
      <c r="U689" s="129"/>
      <c r="V689" s="129"/>
      <c r="W689" s="129"/>
      <c r="X689" s="129"/>
      <c r="Y689" s="298"/>
      <c r="Z689" s="129"/>
      <c r="AA689" s="129"/>
      <c r="AB689" s="129"/>
      <c r="AC689" s="129"/>
      <c r="AD689" s="129"/>
      <c r="AE689" s="129"/>
      <c r="AF689" s="129"/>
      <c r="AL689" s="129"/>
      <c r="AM689" s="344"/>
      <c r="AN689" s="129"/>
      <c r="AO689" s="129"/>
    </row>
    <row r="690" spans="2:41" s="172" customFormat="1" ht="18.75">
      <c r="B690" s="113" t="s">
        <v>645</v>
      </c>
      <c r="C690" s="135"/>
      <c r="D690" s="135"/>
      <c r="E690" s="135"/>
      <c r="F690" s="25"/>
      <c r="G690" s="12"/>
      <c r="H690" s="6"/>
      <c r="I690" s="6"/>
      <c r="J690" s="6"/>
      <c r="O690" s="114">
        <v>2022</v>
      </c>
      <c r="P690" s="114">
        <v>2021</v>
      </c>
      <c r="Q690" s="114">
        <v>2020</v>
      </c>
      <c r="R690" s="114">
        <v>2019</v>
      </c>
      <c r="S690" s="129"/>
      <c r="T690" s="129"/>
      <c r="U690" s="307">
        <v>2018</v>
      </c>
      <c r="V690" s="307">
        <v>2017</v>
      </c>
      <c r="W690" s="312"/>
      <c r="X690" s="312"/>
      <c r="Y690" s="307">
        <v>2016</v>
      </c>
      <c r="Z690" s="129"/>
      <c r="AA690" s="129"/>
      <c r="AB690" s="129"/>
      <c r="AC690" s="129"/>
      <c r="AD690" s="129"/>
      <c r="AE690" s="129"/>
      <c r="AF690" s="129"/>
      <c r="AL690" s="129"/>
      <c r="AM690" s="344"/>
      <c r="AN690" s="129"/>
      <c r="AO690" s="129"/>
    </row>
    <row r="691" spans="2:41" s="172" customFormat="1" ht="20.25">
      <c r="B691" s="186" t="s">
        <v>266</v>
      </c>
      <c r="C691" s="135"/>
      <c r="D691" s="135"/>
      <c r="E691" s="135"/>
      <c r="F691" s="25"/>
      <c r="G691" s="12"/>
      <c r="H691" s="6"/>
      <c r="I691" s="6"/>
      <c r="J691" s="6"/>
      <c r="S691" s="129"/>
      <c r="T691" s="129"/>
      <c r="U691" s="129"/>
      <c r="V691" s="129"/>
      <c r="W691" s="129"/>
      <c r="X691" s="129"/>
      <c r="Y691" s="298"/>
      <c r="Z691" s="129"/>
      <c r="AA691" s="129"/>
      <c r="AB691" s="129"/>
      <c r="AC691" s="129"/>
      <c r="AD691" s="129"/>
      <c r="AE691" s="129"/>
      <c r="AF691" s="129"/>
      <c r="AL691" s="129"/>
      <c r="AM691" s="344"/>
      <c r="AN691" s="129"/>
      <c r="AO691" s="129"/>
    </row>
    <row r="692" spans="2:41" s="172" customFormat="1" ht="16.5">
      <c r="B692" s="63" t="s">
        <v>168</v>
      </c>
      <c r="C692" s="12"/>
      <c r="D692" s="12"/>
      <c r="E692" s="12"/>
      <c r="F692" s="25"/>
      <c r="G692" s="12"/>
      <c r="H692" s="6"/>
      <c r="I692" s="6"/>
      <c r="J692" s="6"/>
      <c r="Q692" s="615"/>
      <c r="R692" s="615"/>
      <c r="S692" s="129"/>
      <c r="T692" s="129"/>
      <c r="U692" s="129"/>
      <c r="V692" s="129"/>
      <c r="W692" s="129"/>
      <c r="X692" s="129"/>
      <c r="Y692" s="298"/>
      <c r="Z692" s="129"/>
      <c r="AA692" s="129"/>
      <c r="AB692" s="129"/>
      <c r="AC692" s="129"/>
      <c r="AD692" s="129"/>
      <c r="AE692" s="129"/>
      <c r="AF692" s="129"/>
      <c r="AL692" s="129"/>
      <c r="AM692" s="344"/>
      <c r="AN692" s="129"/>
      <c r="AO692" s="129"/>
    </row>
    <row r="693" spans="2:41" s="172" customFormat="1" ht="15.75">
      <c r="B693" s="12"/>
      <c r="C693" s="12"/>
      <c r="D693" s="12"/>
      <c r="E693" s="12"/>
      <c r="F693" s="25"/>
      <c r="G693" s="12"/>
      <c r="H693" s="6"/>
      <c r="I693" s="6"/>
      <c r="J693" s="6"/>
      <c r="Q693" s="615"/>
      <c r="R693" s="615"/>
      <c r="S693" s="129"/>
      <c r="T693" s="129"/>
      <c r="U693" s="129"/>
      <c r="V693" s="129"/>
      <c r="W693" s="129"/>
      <c r="X693" s="129"/>
      <c r="Y693" s="298"/>
      <c r="Z693" s="129"/>
      <c r="AA693" s="129"/>
      <c r="AB693" s="129"/>
      <c r="AC693" s="129"/>
      <c r="AD693" s="129"/>
      <c r="AE693" s="129"/>
      <c r="AF693" s="129"/>
      <c r="AL693" s="129"/>
      <c r="AM693" s="344"/>
      <c r="AN693" s="129"/>
      <c r="AO693" s="129"/>
    </row>
    <row r="694" spans="2:41" s="172" customFormat="1" ht="15.75" hidden="1">
      <c r="B694" s="12" t="s">
        <v>503</v>
      </c>
      <c r="C694" s="12"/>
      <c r="D694" s="12"/>
      <c r="E694" s="12"/>
      <c r="F694" s="25"/>
      <c r="G694" s="12"/>
      <c r="H694" s="6"/>
      <c r="I694" s="6"/>
      <c r="J694" s="6"/>
      <c r="S694" s="129"/>
      <c r="T694" s="129"/>
      <c r="U694" s="129"/>
      <c r="V694" s="129"/>
      <c r="W694" s="129"/>
      <c r="X694" s="129"/>
      <c r="Y694" s="129"/>
      <c r="Z694" s="129"/>
      <c r="AA694" s="129"/>
      <c r="AB694" s="129"/>
      <c r="AC694" s="129"/>
      <c r="AD694" s="129"/>
      <c r="AE694" s="129"/>
      <c r="AF694" s="129"/>
      <c r="AL694" s="129"/>
      <c r="AM694" s="344"/>
      <c r="AN694" s="129"/>
      <c r="AO694" s="129"/>
    </row>
    <row r="695" spans="2:41" s="172" customFormat="1" ht="15" hidden="1">
      <c r="B695" s="12" t="s">
        <v>172</v>
      </c>
      <c r="C695" s="12"/>
      <c r="D695" s="12"/>
      <c r="E695" s="12"/>
      <c r="F695" s="12"/>
      <c r="G695" s="12"/>
      <c r="H695" s="6">
        <v>589648.9</v>
      </c>
      <c r="I695" s="6"/>
      <c r="J695" s="6"/>
      <c r="S695" s="129"/>
      <c r="T695" s="129"/>
      <c r="U695" s="129"/>
      <c r="V695" s="298"/>
      <c r="W695" s="129"/>
      <c r="X695" s="129"/>
      <c r="Y695" s="298"/>
      <c r="Z695" s="129"/>
      <c r="AA695" s="129"/>
      <c r="AB695" s="129"/>
      <c r="AC695" s="129"/>
      <c r="AD695" s="129"/>
      <c r="AE695" s="129"/>
      <c r="AF695" s="129"/>
      <c r="AL695" s="129"/>
      <c r="AM695" s="344"/>
      <c r="AN695" s="129"/>
      <c r="AO695" s="129"/>
    </row>
    <row r="696" spans="2:41" s="172" customFormat="1" ht="15" hidden="1">
      <c r="B696" s="12" t="s">
        <v>263</v>
      </c>
      <c r="C696" s="12"/>
      <c r="D696" s="12"/>
      <c r="E696" s="12"/>
      <c r="F696" s="12"/>
      <c r="G696" s="12"/>
      <c r="H696" s="6"/>
      <c r="I696" s="6"/>
      <c r="J696" s="6"/>
      <c r="S696" s="129"/>
      <c r="T696" s="129"/>
      <c r="U696" s="129"/>
      <c r="V696" s="298"/>
      <c r="W696" s="129"/>
      <c r="X696" s="129"/>
      <c r="Y696" s="298"/>
      <c r="Z696" s="129"/>
      <c r="AA696" s="129"/>
      <c r="AB696" s="129"/>
      <c r="AC696" s="129"/>
      <c r="AD696" s="129"/>
      <c r="AE696" s="129"/>
      <c r="AF696" s="129"/>
      <c r="AL696" s="129"/>
      <c r="AM696" s="344"/>
      <c r="AN696" s="129"/>
      <c r="AO696" s="129"/>
    </row>
    <row r="697" spans="2:41" s="172" customFormat="1" ht="15" hidden="1">
      <c r="B697" s="12" t="s">
        <v>264</v>
      </c>
      <c r="C697" s="12"/>
      <c r="D697" s="12"/>
      <c r="E697" s="12"/>
      <c r="F697" s="12"/>
      <c r="G697" s="12"/>
      <c r="H697" s="6">
        <v>0</v>
      </c>
      <c r="I697" s="6"/>
      <c r="J697" s="6"/>
      <c r="S697" s="129"/>
      <c r="T697" s="129"/>
      <c r="U697" s="129"/>
      <c r="V697" s="298"/>
      <c r="W697" s="129"/>
      <c r="X697" s="129"/>
      <c r="Y697" s="298"/>
      <c r="Z697" s="129"/>
      <c r="AA697" s="129"/>
      <c r="AB697" s="129"/>
      <c r="AC697" s="129"/>
      <c r="AD697" s="129"/>
      <c r="AE697" s="129"/>
      <c r="AF697" s="129"/>
      <c r="AL697" s="129"/>
      <c r="AM697" s="344"/>
      <c r="AN697" s="129"/>
      <c r="AO697" s="129"/>
    </row>
    <row r="698" spans="2:41" s="172" customFormat="1" ht="15.75" hidden="1">
      <c r="B698" s="63" t="s">
        <v>173</v>
      </c>
      <c r="C698" s="63"/>
      <c r="D698" s="63"/>
      <c r="E698" s="63"/>
      <c r="F698" s="63"/>
      <c r="G698" s="63"/>
      <c r="H698" s="64">
        <f>567161.8-521856</f>
        <v>45305.80000000005</v>
      </c>
      <c r="I698" s="64"/>
      <c r="J698" s="64"/>
      <c r="K698" s="132"/>
      <c r="L698" s="132"/>
      <c r="M698" s="132"/>
      <c r="N698" s="132"/>
      <c r="O698" s="230"/>
      <c r="P698" s="230">
        <v>0</v>
      </c>
      <c r="Q698" s="230">
        <v>28505</v>
      </c>
      <c r="R698" s="230">
        <v>124995.43</v>
      </c>
      <c r="S698" s="119"/>
      <c r="T698" s="119"/>
      <c r="U698" s="118">
        <v>577192.11</v>
      </c>
      <c r="V698" s="118">
        <v>320891.51</v>
      </c>
      <c r="W698" s="119"/>
      <c r="X698" s="119"/>
      <c r="Y698" s="118">
        <v>93068.66</v>
      </c>
      <c r="Z698" s="129"/>
      <c r="AA698" s="129"/>
      <c r="AB698" s="129"/>
      <c r="AC698" s="129"/>
      <c r="AD698" s="129"/>
      <c r="AE698" s="129"/>
      <c r="AF698" s="129"/>
      <c r="AL698" s="129"/>
      <c r="AM698" s="344"/>
      <c r="AN698" s="129"/>
      <c r="AO698" s="129"/>
    </row>
    <row r="699" spans="2:41" s="172" customFormat="1" ht="15.75">
      <c r="B699" s="63" t="s">
        <v>550</v>
      </c>
      <c r="C699" s="63"/>
      <c r="D699" s="63"/>
      <c r="E699" s="63"/>
      <c r="F699" s="63"/>
      <c r="G699" s="63"/>
      <c r="H699" s="64"/>
      <c r="I699" s="64"/>
      <c r="J699" s="64"/>
      <c r="K699" s="132"/>
      <c r="L699" s="132"/>
      <c r="M699" s="132"/>
      <c r="N699" s="132"/>
      <c r="O699" s="230">
        <v>16992</v>
      </c>
      <c r="P699" s="230">
        <v>982466.31</v>
      </c>
      <c r="Q699" s="230">
        <v>10991.7</v>
      </c>
      <c r="R699" s="230">
        <v>690685.7</v>
      </c>
      <c r="S699" s="119"/>
      <c r="T699" s="119"/>
      <c r="U699" s="118">
        <v>0</v>
      </c>
      <c r="V699" s="118">
        <f>371350.91+422145</f>
        <v>793495.9099999999</v>
      </c>
      <c r="W699" s="119"/>
      <c r="X699" s="119"/>
      <c r="Y699" s="118"/>
      <c r="Z699" s="129"/>
      <c r="AA699" s="129"/>
      <c r="AB699" s="129"/>
      <c r="AC699" s="129"/>
      <c r="AD699" s="129"/>
      <c r="AE699" s="129"/>
      <c r="AF699" s="129"/>
      <c r="AL699" s="129"/>
      <c r="AM699" s="344"/>
      <c r="AN699" s="129"/>
      <c r="AO699" s="129"/>
    </row>
    <row r="700" spans="2:41" s="172" customFormat="1" ht="15.75" hidden="1">
      <c r="B700" s="63" t="s">
        <v>267</v>
      </c>
      <c r="C700" s="63"/>
      <c r="D700" s="63"/>
      <c r="E700" s="63"/>
      <c r="F700" s="63"/>
      <c r="G700" s="63"/>
      <c r="H700" s="64"/>
      <c r="I700" s="64"/>
      <c r="J700" s="64"/>
      <c r="K700" s="132"/>
      <c r="L700" s="132"/>
      <c r="M700" s="132"/>
      <c r="N700" s="132"/>
      <c r="O700" s="132"/>
      <c r="P700" s="132"/>
      <c r="Q700" s="132"/>
      <c r="R700" s="230"/>
      <c r="S700" s="119"/>
      <c r="T700" s="119"/>
      <c r="U700" s="118"/>
      <c r="V700" s="118"/>
      <c r="W700" s="119"/>
      <c r="X700" s="119"/>
      <c r="Y700" s="118"/>
      <c r="Z700" s="129"/>
      <c r="AA700" s="129"/>
      <c r="AB700" s="129"/>
      <c r="AC700" s="129"/>
      <c r="AD700" s="129"/>
      <c r="AE700" s="129"/>
      <c r="AF700" s="129"/>
      <c r="AL700" s="129"/>
      <c r="AM700" s="344"/>
      <c r="AN700" s="129"/>
      <c r="AO700" s="129"/>
    </row>
    <row r="701" spans="2:41" s="515" customFormat="1" ht="15.75">
      <c r="B701" s="63" t="s">
        <v>1101</v>
      </c>
      <c r="C701" s="63"/>
      <c r="D701" s="63"/>
      <c r="E701" s="63"/>
      <c r="F701" s="63"/>
      <c r="G701" s="63"/>
      <c r="H701" s="64"/>
      <c r="I701" s="64"/>
      <c r="J701" s="64"/>
      <c r="K701" s="520"/>
      <c r="L701" s="520"/>
      <c r="M701" s="520"/>
      <c r="N701" s="520"/>
      <c r="O701" s="518">
        <f>3884.28+5071.06+11456.59</f>
        <v>20411.93</v>
      </c>
      <c r="P701" s="520"/>
      <c r="Q701" s="520"/>
      <c r="R701" s="518"/>
      <c r="S701" s="119"/>
      <c r="T701" s="119"/>
      <c r="U701" s="118"/>
      <c r="V701" s="118"/>
      <c r="W701" s="119"/>
      <c r="X701" s="119"/>
      <c r="Y701" s="118"/>
      <c r="Z701" s="521"/>
      <c r="AA701" s="521"/>
      <c r="AB701" s="521"/>
      <c r="AC701" s="521"/>
      <c r="AD701" s="521"/>
      <c r="AE701" s="521"/>
      <c r="AF701" s="521"/>
      <c r="AL701" s="521"/>
      <c r="AM701" s="344"/>
      <c r="AN701" s="521"/>
      <c r="AO701" s="521"/>
    </row>
    <row r="702" spans="2:41" s="172" customFormat="1" ht="15.75">
      <c r="B702" s="63" t="s">
        <v>266</v>
      </c>
      <c r="C702" s="63"/>
      <c r="D702" s="63"/>
      <c r="E702" s="63"/>
      <c r="F702" s="63"/>
      <c r="G702" s="63"/>
      <c r="H702" s="64">
        <v>490.6</v>
      </c>
      <c r="I702" s="64"/>
      <c r="J702" s="64"/>
      <c r="K702" s="132"/>
      <c r="L702" s="132"/>
      <c r="M702" s="132"/>
      <c r="N702" s="132"/>
      <c r="O702" s="230">
        <f>400+53178.79+18675</f>
        <v>72253.79000000001</v>
      </c>
      <c r="P702" s="230">
        <f>18675+34566.67</f>
        <v>53241.67</v>
      </c>
      <c r="Q702" s="230">
        <f>18675+400</f>
        <v>19075</v>
      </c>
      <c r="R702" s="230">
        <v>18675</v>
      </c>
      <c r="S702" s="119"/>
      <c r="T702" s="119"/>
      <c r="U702" s="118">
        <v>18675</v>
      </c>
      <c r="V702" s="118">
        <v>11025</v>
      </c>
      <c r="W702" s="119"/>
      <c r="X702" s="119"/>
      <c r="Y702" s="118">
        <v>5775</v>
      </c>
      <c r="Z702" s="129"/>
      <c r="AA702" s="129"/>
      <c r="AB702" s="129"/>
      <c r="AC702" s="129"/>
      <c r="AD702" s="129"/>
      <c r="AE702" s="129"/>
      <c r="AF702" s="129"/>
      <c r="AL702" s="129"/>
      <c r="AM702" s="344"/>
      <c r="AN702" s="129"/>
      <c r="AO702" s="129"/>
    </row>
    <row r="703" spans="2:41" s="172" customFormat="1" ht="15" hidden="1">
      <c r="B703" s="12" t="s">
        <v>499</v>
      </c>
      <c r="C703" s="12"/>
      <c r="D703" s="12"/>
      <c r="E703" s="12"/>
      <c r="F703" s="12"/>
      <c r="G703" s="12"/>
      <c r="H703" s="6">
        <v>24056.91</v>
      </c>
      <c r="I703" s="6"/>
      <c r="J703" s="6"/>
      <c r="Q703" s="49"/>
      <c r="R703" s="49"/>
      <c r="S703" s="129"/>
      <c r="T703" s="129"/>
      <c r="U703" s="298"/>
      <c r="V703" s="298"/>
      <c r="W703" s="129"/>
      <c r="X703" s="129"/>
      <c r="Y703" s="298"/>
      <c r="Z703" s="129"/>
      <c r="AA703" s="129"/>
      <c r="AB703" s="129"/>
      <c r="AC703" s="129"/>
      <c r="AD703" s="129"/>
      <c r="AE703" s="129"/>
      <c r="AF703" s="129"/>
      <c r="AL703" s="129"/>
      <c r="AM703" s="344"/>
      <c r="AN703" s="129"/>
      <c r="AO703" s="129"/>
    </row>
    <row r="704" spans="2:41" s="172" customFormat="1" ht="15" hidden="1">
      <c r="B704" s="12" t="s">
        <v>500</v>
      </c>
      <c r="C704" s="12"/>
      <c r="D704" s="12"/>
      <c r="E704" s="12"/>
      <c r="F704" s="12"/>
      <c r="G704" s="12"/>
      <c r="H704" s="6">
        <v>6938259.74</v>
      </c>
      <c r="I704" s="6"/>
      <c r="J704" s="6"/>
      <c r="Q704" s="49"/>
      <c r="R704" s="49"/>
      <c r="S704" s="129"/>
      <c r="T704" s="129"/>
      <c r="U704" s="298"/>
      <c r="V704" s="298"/>
      <c r="W704" s="129"/>
      <c r="X704" s="129"/>
      <c r="Y704" s="298"/>
      <c r="Z704" s="129"/>
      <c r="AA704" s="129"/>
      <c r="AB704" s="129"/>
      <c r="AC704" s="129"/>
      <c r="AD704" s="129"/>
      <c r="AE704" s="129"/>
      <c r="AF704" s="129"/>
      <c r="AL704" s="129"/>
      <c r="AM704" s="344"/>
      <c r="AN704" s="129"/>
      <c r="AO704" s="129"/>
    </row>
    <row r="705" spans="2:41" s="172" customFormat="1" ht="15" hidden="1">
      <c r="B705" s="12" t="s">
        <v>501</v>
      </c>
      <c r="C705" s="12"/>
      <c r="D705" s="12"/>
      <c r="E705" s="12"/>
      <c r="F705" s="12"/>
      <c r="G705" s="12"/>
      <c r="H705" s="6">
        <v>5400</v>
      </c>
      <c r="I705" s="6"/>
      <c r="J705" s="6"/>
      <c r="Q705" s="49"/>
      <c r="R705" s="49"/>
      <c r="S705" s="129"/>
      <c r="T705" s="129"/>
      <c r="U705" s="298"/>
      <c r="V705" s="298"/>
      <c r="W705" s="129"/>
      <c r="X705" s="129"/>
      <c r="Y705" s="298"/>
      <c r="Z705" s="129"/>
      <c r="AA705" s="129"/>
      <c r="AB705" s="129"/>
      <c r="AC705" s="129"/>
      <c r="AD705" s="129"/>
      <c r="AE705" s="129"/>
      <c r="AF705" s="129"/>
      <c r="AL705" s="129"/>
      <c r="AM705" s="344"/>
      <c r="AN705" s="129"/>
      <c r="AO705" s="129"/>
    </row>
    <row r="706" spans="2:41" s="172" customFormat="1" ht="15" hidden="1">
      <c r="B706" s="12" t="s">
        <v>265</v>
      </c>
      <c r="C706" s="12"/>
      <c r="D706" s="12"/>
      <c r="E706" s="12"/>
      <c r="F706" s="12"/>
      <c r="G706" s="12"/>
      <c r="H706" s="6">
        <f>689</f>
        <v>689</v>
      </c>
      <c r="I706" s="6"/>
      <c r="J706" s="6"/>
      <c r="Q706" s="49"/>
      <c r="R706" s="49"/>
      <c r="S706" s="129"/>
      <c r="T706" s="129"/>
      <c r="U706" s="298"/>
      <c r="V706" s="298"/>
      <c r="W706" s="129"/>
      <c r="X706" s="129"/>
      <c r="Y706" s="298"/>
      <c r="Z706" s="129"/>
      <c r="AA706" s="129"/>
      <c r="AB706" s="129"/>
      <c r="AC706" s="129"/>
      <c r="AD706" s="129"/>
      <c r="AE706" s="129"/>
      <c r="AF706" s="129"/>
      <c r="AL706" s="129"/>
      <c r="AM706" s="344"/>
      <c r="AN706" s="129"/>
      <c r="AO706" s="129"/>
    </row>
    <row r="707" spans="2:41" s="172" customFormat="1" ht="15" hidden="1">
      <c r="B707" s="12" t="s">
        <v>174</v>
      </c>
      <c r="C707" s="12"/>
      <c r="D707" s="12"/>
      <c r="E707" s="12"/>
      <c r="F707" s="12"/>
      <c r="G707" s="12"/>
      <c r="H707" s="6"/>
      <c r="I707" s="6"/>
      <c r="J707" s="6"/>
      <c r="Q707" s="49"/>
      <c r="R707" s="49"/>
      <c r="S707" s="129"/>
      <c r="T707" s="129"/>
      <c r="U707" s="298"/>
      <c r="V707" s="298"/>
      <c r="W707" s="129"/>
      <c r="X707" s="129"/>
      <c r="Y707" s="298"/>
      <c r="Z707" s="129"/>
      <c r="AA707" s="129"/>
      <c r="AB707" s="129"/>
      <c r="AC707" s="129"/>
      <c r="AD707" s="129"/>
      <c r="AE707" s="129"/>
      <c r="AF707" s="129"/>
      <c r="AL707" s="129"/>
      <c r="AM707" s="344"/>
      <c r="AN707" s="129"/>
      <c r="AO707" s="129"/>
    </row>
    <row r="708" spans="2:41" s="172" customFormat="1" ht="15" hidden="1">
      <c r="B708" s="12" t="s">
        <v>175</v>
      </c>
      <c r="C708" s="12"/>
      <c r="D708" s="12"/>
      <c r="E708" s="12"/>
      <c r="F708" s="12"/>
      <c r="G708" s="12"/>
      <c r="H708" s="6">
        <v>420261.37</v>
      </c>
      <c r="I708" s="6"/>
      <c r="J708" s="6"/>
      <c r="Q708" s="49"/>
      <c r="R708" s="49"/>
      <c r="S708" s="129"/>
      <c r="T708" s="129"/>
      <c r="U708" s="298"/>
      <c r="V708" s="298"/>
      <c r="W708" s="129"/>
      <c r="X708" s="129"/>
      <c r="Y708" s="298"/>
      <c r="Z708" s="129"/>
      <c r="AA708" s="129"/>
      <c r="AB708" s="129"/>
      <c r="AC708" s="129"/>
      <c r="AD708" s="129"/>
      <c r="AE708" s="129"/>
      <c r="AF708" s="129"/>
      <c r="AL708" s="129"/>
      <c r="AM708" s="344"/>
      <c r="AN708" s="129"/>
      <c r="AO708" s="129"/>
    </row>
    <row r="709" spans="2:41" s="172" customFormat="1" ht="19.5" thickBot="1">
      <c r="B709" s="75" t="s">
        <v>646</v>
      </c>
      <c r="C709" s="12"/>
      <c r="D709" s="12"/>
      <c r="E709" s="12"/>
      <c r="F709" s="12"/>
      <c r="G709" s="12"/>
      <c r="H709" s="45">
        <f>SUM(H695:H708)</f>
        <v>8024112.32</v>
      </c>
      <c r="I709" s="140"/>
      <c r="J709" s="140"/>
      <c r="O709" s="212">
        <f>SUM(O698:O702)</f>
        <v>109657.72</v>
      </c>
      <c r="P709" s="212">
        <f>SUM(P698:P702)</f>
        <v>1035707.9800000001</v>
      </c>
      <c r="Q709" s="212">
        <f>SUM(Q698:Q702)</f>
        <v>58571.7</v>
      </c>
      <c r="R709" s="212">
        <f>SUM(R698:R702)</f>
        <v>834356.1299999999</v>
      </c>
      <c r="S709" s="129"/>
      <c r="T709" s="129"/>
      <c r="U709" s="333">
        <f>SUM(U698:U702)</f>
        <v>595867.11</v>
      </c>
      <c r="V709" s="333">
        <f>SUM(V695:V708)</f>
        <v>1125412.42</v>
      </c>
      <c r="W709" s="129"/>
      <c r="X709" s="129"/>
      <c r="Y709" s="333">
        <f>SUM(Y695:Y708)</f>
        <v>98843.66</v>
      </c>
      <c r="Z709" s="129"/>
      <c r="AA709" s="129"/>
      <c r="AB709" s="129"/>
      <c r="AC709" s="129"/>
      <c r="AD709" s="129"/>
      <c r="AE709" s="129"/>
      <c r="AF709" s="129"/>
      <c r="AL709" s="129"/>
      <c r="AM709" s="344"/>
      <c r="AN709" s="129"/>
      <c r="AO709" s="129"/>
    </row>
    <row r="710" ht="15.75" thickTop="1">
      <c r="Y710" s="298"/>
    </row>
    <row r="711" ht="15">
      <c r="Y711" s="298"/>
    </row>
    <row r="712" ht="15">
      <c r="Y712" s="298"/>
    </row>
    <row r="713" ht="15">
      <c r="Y713" s="298"/>
    </row>
    <row r="714" ht="15">
      <c r="Y714" s="298"/>
    </row>
    <row r="715" ht="15">
      <c r="Y715" s="298"/>
    </row>
  </sheetData>
  <sheetProtection/>
  <mergeCells count="33">
    <mergeCell ref="O169:Q169"/>
    <mergeCell ref="O401:Q401"/>
    <mergeCell ref="O415:Q415"/>
    <mergeCell ref="O357:Q357"/>
    <mergeCell ref="O365:Q365"/>
    <mergeCell ref="O378:Q378"/>
    <mergeCell ref="O393:Q393"/>
    <mergeCell ref="O190:Q190"/>
    <mergeCell ref="O218:Q218"/>
    <mergeCell ref="O234:Q234"/>
    <mergeCell ref="O428:Q428"/>
    <mergeCell ref="O472:Q472"/>
    <mergeCell ref="A6:S6"/>
    <mergeCell ref="A7:S7"/>
    <mergeCell ref="O10:P10"/>
    <mergeCell ref="O41:P41"/>
    <mergeCell ref="O95:Q95"/>
    <mergeCell ref="O137:Q137"/>
    <mergeCell ref="O152:Q152"/>
    <mergeCell ref="O176:Q176"/>
    <mergeCell ref="Q692:R692"/>
    <mergeCell ref="Q693:R693"/>
    <mergeCell ref="O486:Q486"/>
    <mergeCell ref="O513:Q513"/>
    <mergeCell ref="O642:Q642"/>
    <mergeCell ref="O689:Q689"/>
    <mergeCell ref="O251:Q251"/>
    <mergeCell ref="O332:Q332"/>
    <mergeCell ref="O345:Q345"/>
    <mergeCell ref="O270:Q270"/>
    <mergeCell ref="O279:Q279"/>
    <mergeCell ref="O306:Q306"/>
    <mergeCell ref="O320:Q320"/>
  </mergeCells>
  <printOptions/>
  <pageMargins left="1.46" right="0.31496062992125984" top="0.35433070866141736" bottom="0.7480314960629921" header="0.31496062992125984" footer="0.31496062992125984"/>
  <pageSetup horizontalDpi="600" verticalDpi="600" orientation="portrait" scale="48" r:id="rId2"/>
  <headerFooter>
    <oddFooter>&amp;C&amp;A&amp;RPágina &amp;P</oddFooter>
  </headerFooter>
  <rowBreaks count="6" manualBreakCount="6">
    <brk id="93" max="38" man="1"/>
    <brk id="168" max="38" man="1"/>
    <brk id="250" max="38" man="1"/>
    <brk id="343" max="38" man="1"/>
    <brk id="425" max="38" man="1"/>
    <brk id="508" max="38" man="1"/>
  </rowBreaks>
  <ignoredErrors>
    <ignoredError sqref="U246 Q264:R264 Q313:R313 U313 R339 Q182 Q229 Q327:R327 Q352:R352" formulaRange="1"/>
  </ignoredErrors>
  <drawing r:id="rId1"/>
</worksheet>
</file>

<file path=xl/worksheets/sheet7.xml><?xml version="1.0" encoding="utf-8"?>
<worksheet xmlns="http://schemas.openxmlformats.org/spreadsheetml/2006/main" xmlns:r="http://schemas.openxmlformats.org/officeDocument/2006/relationships">
  <dimension ref="A6:AY537"/>
  <sheetViews>
    <sheetView zoomScale="115" zoomScaleNormal="115" workbookViewId="0" topLeftCell="A356">
      <selection activeCell="H50" sqref="H50"/>
    </sheetView>
  </sheetViews>
  <sheetFormatPr defaultColWidth="11.421875" defaultRowHeight="15"/>
  <cols>
    <col min="1" max="1" width="7.140625" style="0" customWidth="1"/>
    <col min="2" max="2" width="14.140625" style="0" bestFit="1" customWidth="1"/>
    <col min="3" max="3" width="44.57421875" style="0" customWidth="1"/>
    <col min="4" max="7" width="0" style="0" hidden="1" customWidth="1"/>
    <col min="8" max="8" width="22.57421875" style="4" customWidth="1"/>
    <col min="9" max="9" width="31.28125" style="4" customWidth="1"/>
    <col min="10" max="10" width="27.140625" style="0" hidden="1" customWidth="1"/>
    <col min="11" max="11" width="22.8515625" style="0" hidden="1" customWidth="1"/>
    <col min="12" max="12" width="31.00390625" style="0" hidden="1" customWidth="1"/>
    <col min="13" max="13" width="21.7109375" style="0" hidden="1" customWidth="1"/>
    <col min="14" max="14" width="24.57421875" style="0" hidden="1" customWidth="1"/>
    <col min="15" max="15" width="17.421875" style="0" hidden="1" customWidth="1"/>
    <col min="16" max="16" width="22.57421875" style="0" hidden="1" customWidth="1"/>
    <col min="17" max="17" width="11.57421875" style="173" hidden="1" customWidth="1"/>
    <col min="18" max="18" width="15.7109375" style="173" hidden="1" customWidth="1"/>
    <col min="19" max="19" width="14.28125" style="173" hidden="1" customWidth="1"/>
    <col min="20" max="21" width="23.00390625" style="173" hidden="1" customWidth="1"/>
    <col min="22" max="22" width="26.57421875" style="173" hidden="1" customWidth="1"/>
    <col min="23" max="23" width="21.421875" style="173" hidden="1" customWidth="1"/>
    <col min="24" max="39" width="11.57421875" style="173" hidden="1" customWidth="1"/>
    <col min="40" max="46" width="11.57421875" style="173" customWidth="1"/>
    <col min="47" max="51" width="11.57421875" style="172" customWidth="1"/>
  </cols>
  <sheetData>
    <row r="1" ht="15"/>
    <row r="2" ht="15"/>
    <row r="3" ht="15"/>
    <row r="4" ht="15"/>
    <row r="5" ht="15"/>
    <row r="6" spans="1:16" ht="19.5" customHeight="1">
      <c r="A6" s="44" t="s">
        <v>1142</v>
      </c>
      <c r="B6" s="44"/>
      <c r="C6" s="44"/>
      <c r="D6" s="44"/>
      <c r="E6" s="44"/>
      <c r="F6" s="44"/>
      <c r="G6" s="44"/>
      <c r="H6" s="44"/>
      <c r="I6" s="44"/>
      <c r="J6" s="44"/>
      <c r="K6" s="44"/>
      <c r="L6" s="44"/>
      <c r="M6" s="44"/>
      <c r="N6" s="44"/>
      <c r="O6" s="44"/>
      <c r="P6" s="44"/>
    </row>
    <row r="7" spans="2:12" ht="66.75" customHeight="1">
      <c r="B7" s="31"/>
      <c r="C7" s="31"/>
      <c r="D7" s="31"/>
      <c r="E7" s="31"/>
      <c r="F7" s="31"/>
      <c r="G7" s="31"/>
      <c r="H7" s="31"/>
      <c r="I7" s="31"/>
      <c r="J7" s="31"/>
      <c r="K7" s="31"/>
      <c r="L7" s="31"/>
    </row>
    <row r="8" spans="2:12" ht="15">
      <c r="B8" s="31"/>
      <c r="C8" s="31"/>
      <c r="D8" s="31"/>
      <c r="E8" s="31"/>
      <c r="F8" s="31"/>
      <c r="G8" s="31"/>
      <c r="H8" s="31"/>
      <c r="I8" s="31"/>
      <c r="J8" s="31"/>
      <c r="K8" s="31"/>
      <c r="L8" s="31"/>
    </row>
    <row r="9" spans="2:15" ht="20.25">
      <c r="B9" s="599" t="s">
        <v>600</v>
      </c>
      <c r="C9" s="31"/>
      <c r="D9" s="31"/>
      <c r="E9" s="31"/>
      <c r="F9" s="31"/>
      <c r="G9" s="31"/>
      <c r="H9" s="61" t="s">
        <v>504</v>
      </c>
      <c r="I9" s="61" t="s">
        <v>504</v>
      </c>
      <c r="J9" s="61" t="s">
        <v>504</v>
      </c>
      <c r="K9" s="61" t="s">
        <v>504</v>
      </c>
      <c r="L9" s="610" t="s">
        <v>534</v>
      </c>
      <c r="M9" s="610"/>
      <c r="N9" s="609" t="s">
        <v>534</v>
      </c>
      <c r="O9" s="609"/>
    </row>
    <row r="10" spans="2:23" ht="18.75">
      <c r="B10" s="31"/>
      <c r="C10" s="31"/>
      <c r="D10" s="31"/>
      <c r="E10" s="31"/>
      <c r="F10" s="31"/>
      <c r="G10" s="31"/>
      <c r="H10" s="32">
        <v>2022</v>
      </c>
      <c r="I10" s="32">
        <v>2021</v>
      </c>
      <c r="J10" s="32">
        <v>2020</v>
      </c>
      <c r="K10" s="32">
        <v>2019</v>
      </c>
      <c r="L10" s="32">
        <v>2018</v>
      </c>
      <c r="M10" s="32" t="s">
        <v>504</v>
      </c>
      <c r="N10" s="32">
        <v>2017</v>
      </c>
      <c r="O10" s="60">
        <v>2016</v>
      </c>
      <c r="T10" s="612" t="s">
        <v>986</v>
      </c>
      <c r="U10" s="612"/>
      <c r="V10" s="612"/>
      <c r="W10" s="612"/>
    </row>
    <row r="11" spans="2:24" ht="18" customHeight="1">
      <c r="B11" s="599" t="s">
        <v>279</v>
      </c>
      <c r="C11" s="31"/>
      <c r="D11" s="31"/>
      <c r="E11" s="31"/>
      <c r="F11" s="31"/>
      <c r="G11" s="31"/>
      <c r="H11" s="31"/>
      <c r="I11" s="31"/>
      <c r="J11" s="31"/>
      <c r="K11" s="31"/>
      <c r="L11" s="31"/>
      <c r="M11" s="17"/>
      <c r="N11" s="17"/>
      <c r="R11" s="588" t="s">
        <v>993</v>
      </c>
      <c r="S11" s="588" t="s">
        <v>990</v>
      </c>
      <c r="T11" s="589" t="s">
        <v>988</v>
      </c>
      <c r="U11" s="590" t="s">
        <v>987</v>
      </c>
      <c r="V11" s="589" t="s">
        <v>991</v>
      </c>
      <c r="W11" s="173" t="s">
        <v>990</v>
      </c>
      <c r="X11" s="589" t="s">
        <v>989</v>
      </c>
    </row>
    <row r="12" spans="2:24" ht="18.75">
      <c r="B12" s="594" t="s">
        <v>280</v>
      </c>
      <c r="C12" s="400"/>
      <c r="D12" s="449"/>
      <c r="E12" s="449"/>
      <c r="F12" s="449"/>
      <c r="G12" s="449"/>
      <c r="H12" s="511">
        <v>250154055.84</v>
      </c>
      <c r="I12" s="81">
        <v>222515203.07</v>
      </c>
      <c r="J12" s="81">
        <v>194739423.71</v>
      </c>
      <c r="K12" s="81">
        <v>184215575.61</v>
      </c>
      <c r="L12" s="17">
        <v>158019298.17</v>
      </c>
      <c r="M12" s="17">
        <v>148832728.73</v>
      </c>
      <c r="N12" s="17">
        <v>154112913.6</v>
      </c>
      <c r="O12" s="17">
        <v>146698355.68</v>
      </c>
      <c r="P12" s="17"/>
      <c r="R12" s="591">
        <v>250310212.20000002</v>
      </c>
      <c r="S12" s="591">
        <f>R12-H12</f>
        <v>156156.3600000143</v>
      </c>
      <c r="T12" s="591">
        <f>20000+16000+5833.33+44441.83+6679</f>
        <v>92954.16</v>
      </c>
      <c r="U12" s="591">
        <f>35000+28202</f>
        <v>63202</v>
      </c>
      <c r="V12" s="591">
        <f>+T12+U12</f>
        <v>156156.16</v>
      </c>
      <c r="W12" s="591">
        <f>+S12-T12-U12</f>
        <v>0.2000000143016223</v>
      </c>
      <c r="X12" s="591">
        <v>8066.67</v>
      </c>
    </row>
    <row r="13" spans="2:18" ht="18.75">
      <c r="B13" s="595" t="s">
        <v>683</v>
      </c>
      <c r="C13" s="340"/>
      <c r="D13" s="340"/>
      <c r="E13" s="340"/>
      <c r="F13" s="340"/>
      <c r="G13" s="340"/>
      <c r="H13" s="342">
        <v>10924779.2</v>
      </c>
      <c r="I13" s="81">
        <v>10187595.36</v>
      </c>
      <c r="J13" s="81">
        <v>3230853.18</v>
      </c>
      <c r="K13" s="81">
        <v>3043654.42</v>
      </c>
      <c r="L13" s="17">
        <v>10101414.94</v>
      </c>
      <c r="M13" s="17">
        <v>2170800.65</v>
      </c>
      <c r="N13" s="17">
        <v>2602374.8</v>
      </c>
      <c r="O13" s="17">
        <v>2221315</v>
      </c>
      <c r="P13" s="17"/>
      <c r="R13" s="591"/>
    </row>
    <row r="14" spans="2:18" ht="18.75" hidden="1">
      <c r="B14" s="595" t="s">
        <v>281</v>
      </c>
      <c r="C14" s="340"/>
      <c r="D14" s="340"/>
      <c r="E14" s="340"/>
      <c r="F14" s="340"/>
      <c r="G14" s="340"/>
      <c r="H14" s="342"/>
      <c r="I14" s="31"/>
      <c r="J14" s="81"/>
      <c r="K14" s="81"/>
      <c r="L14" s="17"/>
      <c r="M14" s="17"/>
      <c r="N14" s="17"/>
      <c r="O14" s="17"/>
      <c r="P14" s="17"/>
      <c r="R14" s="591"/>
    </row>
    <row r="15" spans="2:18" ht="18.75" hidden="1">
      <c r="B15" s="595" t="s">
        <v>282</v>
      </c>
      <c r="C15" s="340"/>
      <c r="D15" s="340"/>
      <c r="E15" s="340"/>
      <c r="F15" s="340"/>
      <c r="G15" s="340"/>
      <c r="H15" s="342"/>
      <c r="I15" s="31"/>
      <c r="J15" s="81"/>
      <c r="K15" s="81">
        <v>5076580</v>
      </c>
      <c r="L15" s="17">
        <v>4453375</v>
      </c>
      <c r="M15" s="17">
        <v>2091775</v>
      </c>
      <c r="N15" s="17">
        <v>2583500</v>
      </c>
      <c r="O15" s="17">
        <v>3362360</v>
      </c>
      <c r="P15" s="17"/>
      <c r="R15" s="591"/>
    </row>
    <row r="16" spans="2:18" ht="18.75">
      <c r="B16" s="595" t="s">
        <v>283</v>
      </c>
      <c r="C16" s="340"/>
      <c r="D16" s="340"/>
      <c r="E16" s="340"/>
      <c r="F16" s="340"/>
      <c r="G16" s="340"/>
      <c r="H16" s="342">
        <v>40000</v>
      </c>
      <c r="I16" s="81">
        <v>131430.75</v>
      </c>
      <c r="J16" s="81">
        <v>310831.67</v>
      </c>
      <c r="K16" s="81">
        <v>83689.74</v>
      </c>
      <c r="L16" s="17">
        <v>43420</v>
      </c>
      <c r="M16" s="17">
        <v>223947.86</v>
      </c>
      <c r="N16" s="17">
        <v>271423.28</v>
      </c>
      <c r="O16" s="17">
        <v>174204.8</v>
      </c>
      <c r="P16" s="17"/>
      <c r="R16" s="591"/>
    </row>
    <row r="17" spans="2:18" ht="19.5" customHeight="1" hidden="1">
      <c r="B17" s="595" t="s">
        <v>284</v>
      </c>
      <c r="C17" s="340"/>
      <c r="D17" s="340"/>
      <c r="E17" s="340"/>
      <c r="F17" s="340"/>
      <c r="G17" s="340"/>
      <c r="H17" s="342"/>
      <c r="I17" s="81"/>
      <c r="J17" s="81"/>
      <c r="K17" s="81"/>
      <c r="L17" s="17"/>
      <c r="M17" s="17"/>
      <c r="N17" s="17"/>
      <c r="O17" s="17"/>
      <c r="P17" s="17"/>
      <c r="R17" s="591"/>
    </row>
    <row r="18" spans="2:18" ht="18.75" hidden="1">
      <c r="B18" s="595" t="s">
        <v>285</v>
      </c>
      <c r="C18" s="340"/>
      <c r="D18" s="340"/>
      <c r="E18" s="340"/>
      <c r="F18" s="340"/>
      <c r="G18" s="340"/>
      <c r="H18" s="342"/>
      <c r="I18" s="81"/>
      <c r="J18" s="81"/>
      <c r="K18" s="81"/>
      <c r="L18" s="17"/>
      <c r="M18" s="17"/>
      <c r="N18" s="17"/>
      <c r="O18" s="17"/>
      <c r="P18" s="17"/>
      <c r="R18" s="591"/>
    </row>
    <row r="19" spans="2:18" ht="18.75" hidden="1">
      <c r="B19" s="595" t="s">
        <v>286</v>
      </c>
      <c r="C19" s="340"/>
      <c r="D19" s="340"/>
      <c r="E19" s="340"/>
      <c r="F19" s="340"/>
      <c r="G19" s="340"/>
      <c r="H19" s="342"/>
      <c r="I19" s="81"/>
      <c r="J19" s="81"/>
      <c r="K19" s="81"/>
      <c r="L19" s="17"/>
      <c r="M19" s="17"/>
      <c r="N19" s="17"/>
      <c r="O19" s="17"/>
      <c r="P19" s="17"/>
      <c r="R19" s="591"/>
    </row>
    <row r="20" spans="2:18" ht="18.75">
      <c r="B20" s="595" t="s">
        <v>578</v>
      </c>
      <c r="C20" s="340"/>
      <c r="D20" s="340"/>
      <c r="E20" s="340"/>
      <c r="F20" s="340"/>
      <c r="G20" s="340"/>
      <c r="H20" s="342"/>
      <c r="I20" s="81">
        <v>1108000</v>
      </c>
      <c r="J20" s="81">
        <v>1336576</v>
      </c>
      <c r="K20" s="81">
        <v>4406454.66</v>
      </c>
      <c r="L20" s="17">
        <v>200376</v>
      </c>
      <c r="M20" s="17"/>
      <c r="N20" s="17">
        <v>0</v>
      </c>
      <c r="O20" s="17"/>
      <c r="P20" s="17"/>
      <c r="R20" s="591"/>
    </row>
    <row r="21" spans="2:18" ht="18.75">
      <c r="B21" s="595" t="s">
        <v>605</v>
      </c>
      <c r="C21" s="340"/>
      <c r="D21" s="340"/>
      <c r="E21" s="340"/>
      <c r="F21" s="340"/>
      <c r="G21" s="340"/>
      <c r="H21" s="342">
        <v>120000</v>
      </c>
      <c r="I21" s="81">
        <v>909283.8</v>
      </c>
      <c r="J21" s="81">
        <v>1698567.6</v>
      </c>
      <c r="K21" s="81">
        <v>1818567.6</v>
      </c>
      <c r="L21" s="17"/>
      <c r="M21" s="17"/>
      <c r="N21" s="17"/>
      <c r="O21" s="17"/>
      <c r="P21" s="17"/>
      <c r="R21" s="591"/>
    </row>
    <row r="22" spans="2:51" s="4" customFormat="1" ht="18.75">
      <c r="B22" s="595" t="s">
        <v>880</v>
      </c>
      <c r="C22" s="340"/>
      <c r="D22" s="340"/>
      <c r="E22" s="340"/>
      <c r="F22" s="340"/>
      <c r="G22" s="340"/>
      <c r="H22" s="342">
        <v>1200210</v>
      </c>
      <c r="I22" s="81"/>
      <c r="J22" s="81"/>
      <c r="K22" s="81"/>
      <c r="L22" s="17"/>
      <c r="M22" s="17"/>
      <c r="N22" s="17"/>
      <c r="O22" s="17"/>
      <c r="P22" s="17"/>
      <c r="Q22" s="173"/>
      <c r="R22" s="591"/>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2"/>
      <c r="AV22" s="172"/>
      <c r="AW22" s="172"/>
      <c r="AX22" s="172"/>
      <c r="AY22" s="172"/>
    </row>
    <row r="23" spans="2:51" s="4" customFormat="1" ht="18.75">
      <c r="B23" s="595" t="s">
        <v>684</v>
      </c>
      <c r="C23" s="340"/>
      <c r="D23" s="340"/>
      <c r="E23" s="340"/>
      <c r="F23" s="340"/>
      <c r="G23" s="340"/>
      <c r="H23" s="342"/>
      <c r="I23" s="81">
        <v>1104250.97</v>
      </c>
      <c r="J23" s="81"/>
      <c r="K23" s="81"/>
      <c r="L23" s="17"/>
      <c r="M23" s="17"/>
      <c r="N23" s="17"/>
      <c r="O23" s="17"/>
      <c r="P23" s="17"/>
      <c r="Q23" s="173"/>
      <c r="R23" s="591"/>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2"/>
      <c r="AV23" s="172"/>
      <c r="AW23" s="172"/>
      <c r="AX23" s="172"/>
      <c r="AY23" s="172"/>
    </row>
    <row r="24" spans="2:18" ht="18.75" hidden="1">
      <c r="B24" s="595" t="s">
        <v>513</v>
      </c>
      <c r="C24" s="340"/>
      <c r="D24" s="340"/>
      <c r="E24" s="340"/>
      <c r="F24" s="340"/>
      <c r="G24" s="340"/>
      <c r="H24" s="342"/>
      <c r="I24" s="81"/>
      <c r="J24" s="81">
        <v>163059.29</v>
      </c>
      <c r="K24" s="81">
        <v>113224.97</v>
      </c>
      <c r="L24" s="17">
        <v>67134.75</v>
      </c>
      <c r="M24" s="17"/>
      <c r="N24" s="17">
        <v>48810.27</v>
      </c>
      <c r="O24" s="17">
        <v>71337.68</v>
      </c>
      <c r="P24" s="17"/>
      <c r="R24" s="591"/>
    </row>
    <row r="25" spans="2:18" ht="18.75">
      <c r="B25" s="595" t="s">
        <v>287</v>
      </c>
      <c r="C25" s="340"/>
      <c r="D25" s="340"/>
      <c r="E25" s="340"/>
      <c r="F25" s="340"/>
      <c r="G25" s="340"/>
      <c r="H25" s="342">
        <v>264125.65</v>
      </c>
      <c r="I25" s="81">
        <v>6512.53</v>
      </c>
      <c r="J25" s="81">
        <v>32245.15</v>
      </c>
      <c r="K25" s="81">
        <v>413649.52</v>
      </c>
      <c r="L25" s="17">
        <v>451309.96</v>
      </c>
      <c r="M25" s="17">
        <v>89062.98</v>
      </c>
      <c r="N25" s="17">
        <v>53551.61</v>
      </c>
      <c r="O25" s="17"/>
      <c r="P25" s="17"/>
      <c r="R25" s="591"/>
    </row>
    <row r="26" spans="1:51" s="338" customFormat="1" ht="18.75">
      <c r="A26" s="341"/>
      <c r="B26" s="595" t="s">
        <v>288</v>
      </c>
      <c r="C26" s="340"/>
      <c r="D26" s="340"/>
      <c r="E26" s="340"/>
      <c r="F26" s="340"/>
      <c r="G26" s="340"/>
      <c r="H26" s="342">
        <v>378000</v>
      </c>
      <c r="I26" s="342">
        <v>342000</v>
      </c>
      <c r="J26" s="342">
        <v>445500</v>
      </c>
      <c r="K26" s="342">
        <v>234000</v>
      </c>
      <c r="L26" s="343"/>
      <c r="M26" s="343"/>
      <c r="N26" s="343"/>
      <c r="O26" s="343"/>
      <c r="P26" s="343"/>
      <c r="Q26" s="173"/>
      <c r="R26" s="591"/>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2"/>
      <c r="AV26" s="172"/>
      <c r="AW26" s="172"/>
      <c r="AX26" s="172"/>
      <c r="AY26" s="172"/>
    </row>
    <row r="27" spans="1:18" ht="18.75" hidden="1">
      <c r="A27" s="341"/>
      <c r="B27" s="595" t="s">
        <v>289</v>
      </c>
      <c r="C27" s="340"/>
      <c r="D27" s="340"/>
      <c r="E27" s="340"/>
      <c r="F27" s="340"/>
      <c r="G27" s="340"/>
      <c r="H27" s="81"/>
      <c r="I27" s="342"/>
      <c r="J27" s="342"/>
      <c r="K27" s="342"/>
      <c r="L27" s="343"/>
      <c r="M27" s="343"/>
      <c r="N27" s="343"/>
      <c r="O27" s="343"/>
      <c r="P27" s="343"/>
      <c r="R27" s="591"/>
    </row>
    <row r="28" spans="1:51" s="338" customFormat="1" ht="18.75">
      <c r="A28" s="341"/>
      <c r="B28" s="594" t="s">
        <v>290</v>
      </c>
      <c r="C28" s="400"/>
      <c r="D28" s="400"/>
      <c r="E28" s="400"/>
      <c r="F28" s="400"/>
      <c r="G28" s="400"/>
      <c r="H28" s="511">
        <v>9413414.9</v>
      </c>
      <c r="I28" s="342">
        <v>9164065.48</v>
      </c>
      <c r="J28" s="342">
        <v>7530400.66</v>
      </c>
      <c r="K28" s="342">
        <v>6882362.8</v>
      </c>
      <c r="L28" s="343">
        <v>6910110</v>
      </c>
      <c r="M28" s="343">
        <v>6466740</v>
      </c>
      <c r="N28" s="343">
        <v>7340930</v>
      </c>
      <c r="O28" s="343">
        <v>6918580</v>
      </c>
      <c r="P28" s="343"/>
      <c r="Q28" s="173"/>
      <c r="R28" s="591">
        <v>9427852</v>
      </c>
      <c r="S28" s="591">
        <f>+H28-R28</f>
        <v>-14437.099999999627</v>
      </c>
      <c r="T28" s="173"/>
      <c r="U28" s="591">
        <v>14437.1</v>
      </c>
      <c r="V28" s="591">
        <f>+U28</f>
        <v>14437.1</v>
      </c>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2"/>
      <c r="AV28" s="172"/>
      <c r="AW28" s="172"/>
      <c r="AX28" s="172"/>
      <c r="AY28" s="172"/>
    </row>
    <row r="29" spans="2:18" ht="18.75" hidden="1">
      <c r="B29" s="594" t="s">
        <v>291</v>
      </c>
      <c r="C29" s="400"/>
      <c r="D29" s="400"/>
      <c r="E29" s="400"/>
      <c r="F29" s="400"/>
      <c r="G29" s="400"/>
      <c r="H29" s="511"/>
      <c r="I29" s="81"/>
      <c r="J29" s="81"/>
      <c r="K29" s="81">
        <v>178619.75</v>
      </c>
      <c r="L29" s="17">
        <v>9698457.32</v>
      </c>
      <c r="M29" s="17">
        <v>3164930.3</v>
      </c>
      <c r="N29" s="17">
        <v>3814756.54</v>
      </c>
      <c r="O29" s="17">
        <v>3541289.3</v>
      </c>
      <c r="P29" s="17"/>
      <c r="R29" s="591"/>
    </row>
    <row r="30" spans="2:23" ht="18.75">
      <c r="B30" s="594" t="s">
        <v>654</v>
      </c>
      <c r="C30" s="400"/>
      <c r="D30" s="400"/>
      <c r="E30" s="400"/>
      <c r="F30" s="400"/>
      <c r="G30" s="400"/>
      <c r="H30" s="511">
        <v>39894751.75</v>
      </c>
      <c r="I30" s="81">
        <v>33821745.12</v>
      </c>
      <c r="J30" s="81">
        <v>15795341.83</v>
      </c>
      <c r="K30" s="81">
        <v>28767122.48</v>
      </c>
      <c r="L30" s="17"/>
      <c r="M30" s="17"/>
      <c r="N30" s="17"/>
      <c r="O30" s="17"/>
      <c r="P30" s="17"/>
      <c r="R30" s="591">
        <f>21452369.84+18442381.91</f>
        <v>39894751.75</v>
      </c>
      <c r="S30" s="591">
        <f>+H30-R30</f>
        <v>0</v>
      </c>
      <c r="T30" s="591"/>
      <c r="U30" s="591"/>
      <c r="V30" s="591"/>
      <c r="W30" s="591"/>
    </row>
    <row r="31" spans="2:18" ht="18.75" hidden="1">
      <c r="B31" s="596" t="s">
        <v>514</v>
      </c>
      <c r="C31" s="31"/>
      <c r="D31" s="31"/>
      <c r="E31" s="31"/>
      <c r="F31" s="31"/>
      <c r="G31" s="31"/>
      <c r="H31" s="81"/>
      <c r="I31" s="81"/>
      <c r="J31" s="81"/>
      <c r="K31" s="81">
        <v>3000</v>
      </c>
      <c r="L31" s="17"/>
      <c r="M31" s="17">
        <v>8356480.82</v>
      </c>
      <c r="N31" s="17">
        <v>3855872.59</v>
      </c>
      <c r="O31" s="17">
        <v>6905516.08</v>
      </c>
      <c r="P31" s="17"/>
      <c r="R31" s="591"/>
    </row>
    <row r="32" spans="2:18" ht="18.75" hidden="1">
      <c r="B32" s="596" t="s">
        <v>292</v>
      </c>
      <c r="C32" s="31"/>
      <c r="D32" s="31"/>
      <c r="E32" s="31"/>
      <c r="F32" s="31"/>
      <c r="G32" s="31"/>
      <c r="H32" s="81"/>
      <c r="I32" s="81"/>
      <c r="J32" s="81"/>
      <c r="K32" s="81"/>
      <c r="L32" s="17"/>
      <c r="M32" s="17"/>
      <c r="N32" s="17"/>
      <c r="O32" s="17">
        <v>1500</v>
      </c>
      <c r="P32" s="17"/>
      <c r="R32" s="591"/>
    </row>
    <row r="33" spans="2:18" ht="18.75" hidden="1">
      <c r="B33" s="596" t="s">
        <v>293</v>
      </c>
      <c r="C33" s="31"/>
      <c r="D33" s="31"/>
      <c r="E33" s="31"/>
      <c r="F33" s="31"/>
      <c r="G33" s="31"/>
      <c r="H33" s="81"/>
      <c r="I33" s="81"/>
      <c r="J33" s="81"/>
      <c r="K33" s="81"/>
      <c r="L33" s="17"/>
      <c r="M33" s="17"/>
      <c r="N33" s="17"/>
      <c r="O33" s="17"/>
      <c r="P33" s="17"/>
      <c r="R33" s="591"/>
    </row>
    <row r="34" spans="2:18" ht="18.75" hidden="1">
      <c r="B34" s="596" t="s">
        <v>294</v>
      </c>
      <c r="C34" s="31"/>
      <c r="D34" s="31"/>
      <c r="E34" s="31"/>
      <c r="F34" s="31"/>
      <c r="G34" s="31"/>
      <c r="H34" s="81"/>
      <c r="I34" s="81"/>
      <c r="J34" s="81"/>
      <c r="K34" s="81"/>
      <c r="L34" s="17"/>
      <c r="M34" s="17"/>
      <c r="N34" s="17"/>
      <c r="O34" s="17"/>
      <c r="P34" s="17"/>
      <c r="R34" s="591"/>
    </row>
    <row r="35" spans="2:18" ht="18.75" hidden="1">
      <c r="B35" s="596"/>
      <c r="C35" s="31"/>
      <c r="D35" s="31"/>
      <c r="E35" s="31"/>
      <c r="F35" s="31"/>
      <c r="G35" s="31"/>
      <c r="H35" s="81"/>
      <c r="I35" s="81"/>
      <c r="J35" s="81"/>
      <c r="K35" s="81"/>
      <c r="L35" s="17"/>
      <c r="M35" s="17"/>
      <c r="N35" s="17"/>
      <c r="O35" s="17"/>
      <c r="P35" s="17"/>
      <c r="R35" s="591"/>
    </row>
    <row r="36" spans="2:51" s="514" customFormat="1" ht="18.75">
      <c r="B36" s="596" t="s">
        <v>992</v>
      </c>
      <c r="C36" s="31"/>
      <c r="D36" s="31"/>
      <c r="E36" s="31"/>
      <c r="F36" s="31"/>
      <c r="G36" s="31"/>
      <c r="H36" s="81">
        <v>21347138.38</v>
      </c>
      <c r="I36" s="81"/>
      <c r="J36" s="81"/>
      <c r="K36" s="81"/>
      <c r="L36" s="516"/>
      <c r="M36" s="516"/>
      <c r="N36" s="516"/>
      <c r="O36" s="516"/>
      <c r="P36" s="516"/>
      <c r="Q36" s="173"/>
      <c r="R36" s="591">
        <v>21347138.38</v>
      </c>
      <c r="S36" s="591">
        <f>+H36-R36</f>
        <v>0</v>
      </c>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515"/>
      <c r="AV36" s="515"/>
      <c r="AW36" s="515"/>
      <c r="AX36" s="515"/>
      <c r="AY36" s="515"/>
    </row>
    <row r="37" spans="1:18" ht="18.75">
      <c r="A37" s="341"/>
      <c r="B37" s="595" t="s">
        <v>295</v>
      </c>
      <c r="C37" s="340"/>
      <c r="D37" s="340"/>
      <c r="E37" s="340"/>
      <c r="F37" s="340"/>
      <c r="G37" s="340"/>
      <c r="H37" s="342">
        <v>22629635.12</v>
      </c>
      <c r="I37" s="81">
        <v>20354710.56</v>
      </c>
      <c r="J37" s="81">
        <v>17248294.08</v>
      </c>
      <c r="K37" s="81">
        <v>17219823.96</v>
      </c>
      <c r="L37" s="17">
        <v>14603672.19</v>
      </c>
      <c r="M37" s="17">
        <v>13251406.64</v>
      </c>
      <c r="N37" s="17">
        <v>13778324.79</v>
      </c>
      <c r="O37" s="17">
        <v>13171012.76</v>
      </c>
      <c r="P37" s="17"/>
      <c r="R37" s="591"/>
    </row>
    <row r="38" spans="1:19" ht="18.75">
      <c r="A38" s="344"/>
      <c r="B38" s="597" t="s">
        <v>296</v>
      </c>
      <c r="C38" s="450"/>
      <c r="D38" s="450"/>
      <c r="E38" s="450"/>
      <c r="F38" s="450"/>
      <c r="G38" s="450"/>
      <c r="H38" s="342">
        <v>5152803.7</v>
      </c>
      <c r="I38" s="345">
        <v>5181582.2</v>
      </c>
      <c r="J38" s="345">
        <v>4356163.01</v>
      </c>
      <c r="K38" s="345"/>
      <c r="L38" s="346">
        <v>16782321.44</v>
      </c>
      <c r="M38" s="346">
        <v>16201374.8</v>
      </c>
      <c r="N38" s="346">
        <v>16297493.81</v>
      </c>
      <c r="O38" s="346">
        <v>16383665.86</v>
      </c>
      <c r="P38" s="346"/>
      <c r="R38" s="591">
        <v>5152803.7</v>
      </c>
      <c r="S38" s="591">
        <f>+H38-R38</f>
        <v>0</v>
      </c>
    </row>
    <row r="39" spans="1:51" s="338" customFormat="1" ht="18.75">
      <c r="A39" s="344"/>
      <c r="B39" s="597" t="s">
        <v>297</v>
      </c>
      <c r="C39" s="450"/>
      <c r="D39" s="450"/>
      <c r="E39" s="450"/>
      <c r="F39" s="450"/>
      <c r="G39" s="450"/>
      <c r="H39" s="342">
        <v>2402383</v>
      </c>
      <c r="I39" s="345">
        <v>5434895.52</v>
      </c>
      <c r="J39" s="345">
        <v>862212.5</v>
      </c>
      <c r="K39" s="345">
        <v>646649.07</v>
      </c>
      <c r="L39" s="346">
        <v>532259.79</v>
      </c>
      <c r="M39" s="346">
        <v>4097788.3</v>
      </c>
      <c r="N39" s="346">
        <v>511315.14</v>
      </c>
      <c r="O39" s="346">
        <v>1776856</v>
      </c>
      <c r="P39" s="346"/>
      <c r="Q39" s="173"/>
      <c r="R39" s="591"/>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2"/>
      <c r="AV39" s="172"/>
      <c r="AW39" s="172"/>
      <c r="AX39" s="172"/>
      <c r="AY39" s="172"/>
    </row>
    <row r="40" spans="1:18" ht="18.75">
      <c r="A40" s="341"/>
      <c r="B40" s="595" t="s">
        <v>298</v>
      </c>
      <c r="C40" s="340"/>
      <c r="D40" s="340"/>
      <c r="E40" s="340"/>
      <c r="F40" s="340"/>
      <c r="G40" s="340"/>
      <c r="H40" s="342">
        <v>772706.94</v>
      </c>
      <c r="I40" s="81">
        <v>3100347.56</v>
      </c>
      <c r="J40" s="81">
        <v>2343669.54</v>
      </c>
      <c r="K40" s="81">
        <v>1456921.69</v>
      </c>
      <c r="L40" s="17">
        <v>284489.73</v>
      </c>
      <c r="M40" s="17">
        <v>2188550.27</v>
      </c>
      <c r="N40" s="17">
        <v>903485.87</v>
      </c>
      <c r="O40" s="17">
        <v>1233222.88</v>
      </c>
      <c r="P40" s="17"/>
      <c r="R40" s="591"/>
    </row>
    <row r="41" spans="1:51" s="338" customFormat="1" ht="18.75">
      <c r="A41" s="341"/>
      <c r="B41" s="594" t="s">
        <v>606</v>
      </c>
      <c r="C41" s="400"/>
      <c r="D41" s="449"/>
      <c r="E41" s="449"/>
      <c r="F41" s="449"/>
      <c r="G41" s="449"/>
      <c r="H41" s="511">
        <v>18448089.91</v>
      </c>
      <c r="I41" s="342">
        <v>16402103.85</v>
      </c>
      <c r="J41" s="342">
        <v>13918530.5</v>
      </c>
      <c r="K41" s="342">
        <v>13689730.8</v>
      </c>
      <c r="L41" s="343">
        <v>11997538.55</v>
      </c>
      <c r="M41" s="343">
        <v>10516192.83</v>
      </c>
      <c r="N41" s="343">
        <v>11026960.22</v>
      </c>
      <c r="O41" s="343">
        <v>10561008.28</v>
      </c>
      <c r="P41" s="343"/>
      <c r="Q41" s="173"/>
      <c r="R41" s="591">
        <v>18448089.910000004</v>
      </c>
      <c r="S41" s="591">
        <f>H41-R41</f>
        <v>0</v>
      </c>
      <c r="T41" s="591"/>
      <c r="U41" s="591"/>
      <c r="V41" s="591"/>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2"/>
      <c r="AV41" s="172"/>
      <c r="AW41" s="172"/>
      <c r="AX41" s="172"/>
      <c r="AY41" s="172"/>
    </row>
    <row r="42" spans="1:51" s="338" customFormat="1" ht="18.75">
      <c r="A42" s="341"/>
      <c r="B42" s="594" t="s">
        <v>299</v>
      </c>
      <c r="C42" s="400"/>
      <c r="D42" s="449"/>
      <c r="E42" s="449"/>
      <c r="F42" s="449"/>
      <c r="G42" s="449"/>
      <c r="H42" s="511">
        <v>18623767.87</v>
      </c>
      <c r="I42" s="342">
        <v>16596147.46</v>
      </c>
      <c r="J42" s="342">
        <v>14120732.26</v>
      </c>
      <c r="K42" s="342">
        <v>13888551.14</v>
      </c>
      <c r="L42" s="343">
        <v>12139580.17</v>
      </c>
      <c r="M42" s="343">
        <v>10749589.99</v>
      </c>
      <c r="N42" s="343">
        <v>11219091.99</v>
      </c>
      <c r="O42" s="343">
        <v>9848125.92</v>
      </c>
      <c r="P42" s="343"/>
      <c r="Q42" s="173"/>
      <c r="R42" s="591">
        <v>18623767.87</v>
      </c>
      <c r="S42" s="591">
        <f>+H42-R42</f>
        <v>0</v>
      </c>
      <c r="T42" s="591">
        <f>H41+H42+H43</f>
        <v>39660235.120000005</v>
      </c>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2"/>
      <c r="AV42" s="172"/>
      <c r="AW42" s="172"/>
      <c r="AX42" s="172"/>
      <c r="AY42" s="172"/>
    </row>
    <row r="43" spans="1:51" s="339" customFormat="1" ht="18.75">
      <c r="A43" s="352"/>
      <c r="B43" s="598" t="s">
        <v>300</v>
      </c>
      <c r="C43" s="451"/>
      <c r="D43" s="451"/>
      <c r="E43" s="451"/>
      <c r="F43" s="451"/>
      <c r="G43" s="451"/>
      <c r="H43" s="342">
        <v>2588377.34</v>
      </c>
      <c r="I43" s="342">
        <v>2256690.61</v>
      </c>
      <c r="J43" s="342">
        <v>1915257.98</v>
      </c>
      <c r="K43" s="353">
        <v>1887881.79</v>
      </c>
      <c r="L43" s="352">
        <v>1642635.04</v>
      </c>
      <c r="M43" s="352">
        <v>1359509.37</v>
      </c>
      <c r="N43" s="352">
        <v>1472694.38</v>
      </c>
      <c r="O43" s="352">
        <v>2247767.84</v>
      </c>
      <c r="P43" s="352"/>
      <c r="Q43" s="587"/>
      <c r="R43" s="591"/>
      <c r="S43" s="587"/>
      <c r="T43" s="587"/>
      <c r="U43" s="587"/>
      <c r="V43" s="587"/>
      <c r="W43" s="587"/>
      <c r="X43" s="587"/>
      <c r="Y43" s="587"/>
      <c r="Z43" s="587"/>
      <c r="AA43" s="587"/>
      <c r="AB43" s="587"/>
      <c r="AC43" s="587"/>
      <c r="AD43" s="587"/>
      <c r="AE43" s="587"/>
      <c r="AF43" s="587"/>
      <c r="AG43" s="587"/>
      <c r="AH43" s="587"/>
      <c r="AI43" s="587"/>
      <c r="AJ43" s="587"/>
      <c r="AK43" s="587"/>
      <c r="AL43" s="587"/>
      <c r="AM43" s="587"/>
      <c r="AN43" s="587"/>
      <c r="AO43" s="587"/>
      <c r="AP43" s="587"/>
      <c r="AQ43" s="587"/>
      <c r="AR43" s="587"/>
      <c r="AS43" s="587"/>
      <c r="AT43" s="587"/>
      <c r="AU43" s="163"/>
      <c r="AV43" s="163"/>
      <c r="AW43" s="163"/>
      <c r="AX43" s="163"/>
      <c r="AY43" s="163"/>
    </row>
    <row r="44" spans="2:15" ht="18.75" hidden="1">
      <c r="B44" s="596" t="s">
        <v>301</v>
      </c>
      <c r="C44" s="31"/>
      <c r="D44" s="31"/>
      <c r="E44" s="31"/>
      <c r="F44" s="31"/>
      <c r="G44" s="31"/>
      <c r="H44" s="81"/>
      <c r="I44" s="31"/>
      <c r="J44" s="81"/>
      <c r="K44" s="81"/>
      <c r="L44" s="17"/>
      <c r="M44" s="17">
        <v>60000</v>
      </c>
      <c r="N44" s="17"/>
      <c r="O44" s="17">
        <v>18000</v>
      </c>
    </row>
    <row r="45" spans="2:15" ht="18.75" hidden="1">
      <c r="B45" s="596" t="s">
        <v>302</v>
      </c>
      <c r="C45" s="31"/>
      <c r="D45" s="31"/>
      <c r="E45" s="31"/>
      <c r="F45" s="31"/>
      <c r="G45" s="31"/>
      <c r="H45" s="81"/>
      <c r="I45" s="31"/>
      <c r="J45" s="81"/>
      <c r="K45" s="81"/>
      <c r="L45" s="17"/>
      <c r="M45" s="17"/>
      <c r="N45" s="17"/>
      <c r="O45" s="17"/>
    </row>
    <row r="46" spans="2:22" ht="18.75">
      <c r="B46" s="596" t="s">
        <v>303</v>
      </c>
      <c r="C46" s="31"/>
      <c r="D46" s="31"/>
      <c r="E46" s="31"/>
      <c r="F46" s="31"/>
      <c r="G46" s="31"/>
      <c r="H46" s="81">
        <f>25+1004.5+1064</f>
        <v>2093.5</v>
      </c>
      <c r="I46" s="31"/>
      <c r="J46" s="17"/>
      <c r="K46" s="17"/>
      <c r="L46" s="17"/>
      <c r="M46" s="17">
        <v>18</v>
      </c>
      <c r="N46" s="35">
        <v>4800</v>
      </c>
      <c r="O46" s="35">
        <v>650</v>
      </c>
      <c r="T46" s="591">
        <f>W30+S41+S42+S12</f>
        <v>156156.3600000143</v>
      </c>
      <c r="U46" s="591"/>
      <c r="V46" s="591"/>
    </row>
    <row r="47" spans="2:14" ht="18.75">
      <c r="B47" s="596" t="s">
        <v>302</v>
      </c>
      <c r="C47" s="31"/>
      <c r="D47" s="31"/>
      <c r="E47" s="31"/>
      <c r="F47" s="31"/>
      <c r="G47" s="31"/>
      <c r="H47" s="81"/>
      <c r="I47" s="81">
        <v>50000</v>
      </c>
      <c r="J47" s="35"/>
      <c r="K47" s="35"/>
      <c r="L47" s="35"/>
      <c r="M47" s="35"/>
      <c r="N47" s="13"/>
    </row>
    <row r="48" spans="2:16" ht="15.75" thickBot="1">
      <c r="B48" s="399" t="s">
        <v>304</v>
      </c>
      <c r="C48" s="399"/>
      <c r="D48" s="399"/>
      <c r="E48" s="399"/>
      <c r="F48" s="399"/>
      <c r="G48" s="399"/>
      <c r="H48" s="512">
        <f>SUM(H12:H47)</f>
        <v>404356333.09999996</v>
      </c>
      <c r="I48" s="83">
        <f>SUM(I12:I47)</f>
        <v>348666564.84</v>
      </c>
      <c r="J48" s="83">
        <f>SUM(J12:J46)</f>
        <v>280047658.96000004</v>
      </c>
      <c r="K48" s="83">
        <f>SUM(K12:K46)</f>
        <v>284026060.00000006</v>
      </c>
      <c r="L48" s="83">
        <f>SUM(L12:L46)</f>
        <v>247927393.04999995</v>
      </c>
      <c r="M48" s="48">
        <f>SUM(M12:M47)</f>
        <v>229820896.54000008</v>
      </c>
      <c r="N48" s="48">
        <f>SUM(N12:N46)</f>
        <v>229898298.89000002</v>
      </c>
      <c r="O48" s="42">
        <f>SUM(O12:O46)</f>
        <v>225134768.08</v>
      </c>
      <c r="P48" s="17"/>
    </row>
    <row r="49" spans="2:14" ht="15.75" thickTop="1">
      <c r="B49" s="31"/>
      <c r="C49" s="31"/>
      <c r="D49" s="31"/>
      <c r="E49" s="31"/>
      <c r="F49" s="31"/>
      <c r="G49" s="31"/>
      <c r="H49" s="31"/>
      <c r="I49" s="31"/>
      <c r="J49" s="31"/>
      <c r="K49" s="31"/>
      <c r="L49" s="31"/>
      <c r="M49" s="17"/>
      <c r="N49" s="17"/>
    </row>
    <row r="50" spans="2:51" s="514" customFormat="1" ht="16.5">
      <c r="B50" s="600" t="s">
        <v>1105</v>
      </c>
      <c r="C50" s="33"/>
      <c r="D50" s="33"/>
      <c r="E50" s="33"/>
      <c r="F50" s="33"/>
      <c r="G50" s="33"/>
      <c r="H50" s="33"/>
      <c r="I50" s="33"/>
      <c r="J50" s="31"/>
      <c r="K50" s="31"/>
      <c r="L50" s="31"/>
      <c r="M50" s="516"/>
      <c r="N50" s="516"/>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515"/>
      <c r="AV50" s="515"/>
      <c r="AW50" s="515"/>
      <c r="AX50" s="515"/>
      <c r="AY50" s="515"/>
    </row>
    <row r="51" spans="2:51" s="514" customFormat="1" ht="16.5">
      <c r="B51" s="600" t="s">
        <v>1106</v>
      </c>
      <c r="C51" s="33"/>
      <c r="D51" s="33"/>
      <c r="E51" s="33"/>
      <c r="F51" s="33"/>
      <c r="G51" s="33"/>
      <c r="H51" s="33"/>
      <c r="I51" s="33"/>
      <c r="J51" s="31"/>
      <c r="K51" s="31"/>
      <c r="L51" s="31"/>
      <c r="M51" s="516"/>
      <c r="N51" s="516"/>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515"/>
      <c r="AV51" s="515"/>
      <c r="AW51" s="515"/>
      <c r="AX51" s="515"/>
      <c r="AY51" s="515"/>
    </row>
    <row r="52" spans="2:51" s="514" customFormat="1" ht="16.5">
      <c r="B52" s="600" t="s">
        <v>1107</v>
      </c>
      <c r="C52" s="33"/>
      <c r="D52" s="33"/>
      <c r="E52" s="33"/>
      <c r="F52" s="33"/>
      <c r="G52" s="33"/>
      <c r="H52" s="33"/>
      <c r="I52" s="33"/>
      <c r="J52" s="31"/>
      <c r="K52" s="31"/>
      <c r="L52" s="31"/>
      <c r="M52" s="516"/>
      <c r="N52" s="516"/>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515"/>
      <c r="AV52" s="515"/>
      <c r="AW52" s="515"/>
      <c r="AX52" s="515"/>
      <c r="AY52" s="515"/>
    </row>
    <row r="53" spans="2:51" s="514" customFormat="1" ht="16.5">
      <c r="B53" s="600" t="s">
        <v>1108</v>
      </c>
      <c r="C53" s="33"/>
      <c r="D53" s="33"/>
      <c r="E53" s="33"/>
      <c r="F53" s="33"/>
      <c r="G53" s="33"/>
      <c r="H53" s="33"/>
      <c r="I53" s="33"/>
      <c r="J53" s="31"/>
      <c r="K53" s="31"/>
      <c r="L53" s="31"/>
      <c r="M53" s="516"/>
      <c r="N53" s="516"/>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515"/>
      <c r="AV53" s="515"/>
      <c r="AW53" s="515"/>
      <c r="AX53" s="515"/>
      <c r="AY53" s="515"/>
    </row>
    <row r="54" spans="2:51" s="514" customFormat="1" ht="16.5">
      <c r="B54" s="600" t="s">
        <v>1109</v>
      </c>
      <c r="C54" s="33"/>
      <c r="D54" s="33"/>
      <c r="E54" s="33"/>
      <c r="F54" s="33"/>
      <c r="G54" s="33"/>
      <c r="H54" s="33"/>
      <c r="I54" s="33"/>
      <c r="J54" s="31"/>
      <c r="K54" s="31"/>
      <c r="L54" s="31"/>
      <c r="M54" s="516"/>
      <c r="N54" s="516"/>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515"/>
      <c r="AV54" s="515"/>
      <c r="AW54" s="515"/>
      <c r="AX54" s="515"/>
      <c r="AY54" s="515"/>
    </row>
    <row r="55" spans="2:51" s="514" customFormat="1" ht="15">
      <c r="B55" s="31"/>
      <c r="C55" s="31"/>
      <c r="D55" s="31"/>
      <c r="E55" s="31"/>
      <c r="F55" s="31"/>
      <c r="G55" s="31"/>
      <c r="H55" s="31"/>
      <c r="I55" s="31"/>
      <c r="J55" s="31"/>
      <c r="K55" s="31"/>
      <c r="L55" s="31"/>
      <c r="M55" s="516"/>
      <c r="N55" s="516"/>
      <c r="Q55" s="173"/>
      <c r="R55" s="173"/>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173"/>
      <c r="AT55" s="173"/>
      <c r="AU55" s="515"/>
      <c r="AV55" s="515"/>
      <c r="AW55" s="515"/>
      <c r="AX55" s="515"/>
      <c r="AY55" s="515"/>
    </row>
    <row r="56" spans="2:14" ht="20.25">
      <c r="B56" s="599" t="s">
        <v>999</v>
      </c>
      <c r="C56" s="31"/>
      <c r="D56" s="31"/>
      <c r="E56" s="31"/>
      <c r="F56" s="31"/>
      <c r="G56" s="31"/>
      <c r="H56" s="31"/>
      <c r="I56" s="31"/>
      <c r="J56" s="31"/>
      <c r="K56" s="31"/>
      <c r="L56" s="31"/>
      <c r="M56" s="17"/>
      <c r="N56" s="17"/>
    </row>
    <row r="57" spans="2:23" ht="24" customHeight="1">
      <c r="B57" s="31"/>
      <c r="C57" s="31"/>
      <c r="D57" s="31"/>
      <c r="E57" s="31"/>
      <c r="F57" s="31"/>
      <c r="G57" s="31"/>
      <c r="H57" s="61" t="s">
        <v>504</v>
      </c>
      <c r="I57" s="61" t="s">
        <v>504</v>
      </c>
      <c r="J57" s="61" t="s">
        <v>504</v>
      </c>
      <c r="K57" s="61" t="s">
        <v>504</v>
      </c>
      <c r="L57" s="610" t="s">
        <v>534</v>
      </c>
      <c r="M57" s="610"/>
      <c r="N57" s="609" t="s">
        <v>534</v>
      </c>
      <c r="O57" s="609"/>
      <c r="R57" s="588" t="s">
        <v>993</v>
      </c>
      <c r="S57" s="588" t="s">
        <v>990</v>
      </c>
      <c r="T57" s="592" t="s">
        <v>998</v>
      </c>
      <c r="U57" s="173" t="s">
        <v>995</v>
      </c>
      <c r="V57" s="173" t="s">
        <v>996</v>
      </c>
      <c r="W57" s="173" t="s">
        <v>997</v>
      </c>
    </row>
    <row r="58" spans="2:15" ht="18.75">
      <c r="B58" s="31"/>
      <c r="C58" s="31"/>
      <c r="D58" s="31"/>
      <c r="E58" s="31"/>
      <c r="F58" s="31"/>
      <c r="G58" s="31"/>
      <c r="H58" s="32">
        <v>2022</v>
      </c>
      <c r="I58" s="32">
        <v>2021</v>
      </c>
      <c r="J58" s="32">
        <v>2020</v>
      </c>
      <c r="K58" s="32">
        <v>2019</v>
      </c>
      <c r="L58" s="32">
        <v>2018</v>
      </c>
      <c r="M58" s="32"/>
      <c r="N58" s="32">
        <v>2017</v>
      </c>
      <c r="O58" s="60">
        <v>2016</v>
      </c>
    </row>
    <row r="59" spans="2:14" ht="20.25">
      <c r="B59" s="599" t="s">
        <v>305</v>
      </c>
      <c r="C59" s="31"/>
      <c r="D59" s="31"/>
      <c r="E59" s="31"/>
      <c r="F59" s="31"/>
      <c r="G59" s="31"/>
      <c r="H59" s="31"/>
      <c r="I59" s="31"/>
      <c r="J59" s="31"/>
      <c r="K59" s="31"/>
      <c r="L59" s="31"/>
      <c r="M59" s="17"/>
      <c r="N59" s="17"/>
    </row>
    <row r="60" spans="2:14" ht="15" hidden="1">
      <c r="B60" s="31" t="s">
        <v>306</v>
      </c>
      <c r="C60" s="31"/>
      <c r="D60" s="31"/>
      <c r="E60" s="31"/>
      <c r="F60" s="31"/>
      <c r="G60" s="31"/>
      <c r="H60" s="31"/>
      <c r="I60" s="31"/>
      <c r="J60" s="31"/>
      <c r="K60" s="31"/>
      <c r="L60" s="31"/>
      <c r="M60" s="17"/>
      <c r="N60" s="17"/>
    </row>
    <row r="61" spans="2:14" ht="15" hidden="1">
      <c r="B61" s="31" t="s">
        <v>307</v>
      </c>
      <c r="C61" s="31"/>
      <c r="D61" s="31"/>
      <c r="E61" s="31"/>
      <c r="F61" s="31"/>
      <c r="G61" s="31"/>
      <c r="H61" s="31"/>
      <c r="I61" s="31"/>
      <c r="J61" s="31"/>
      <c r="K61" s="31"/>
      <c r="L61" s="31"/>
      <c r="M61" s="17"/>
      <c r="N61" s="17"/>
    </row>
    <row r="62" spans="2:20" ht="18.75">
      <c r="B62" s="594" t="s">
        <v>308</v>
      </c>
      <c r="C62" s="594"/>
      <c r="D62" s="449"/>
      <c r="E62" s="449"/>
      <c r="F62" s="449"/>
      <c r="G62" s="449"/>
      <c r="H62" s="513">
        <v>2220928.42</v>
      </c>
      <c r="I62" s="82">
        <v>2280703.71</v>
      </c>
      <c r="J62" s="82">
        <v>4487674.21</v>
      </c>
      <c r="K62" s="82">
        <v>4936399.99</v>
      </c>
      <c r="L62" s="82">
        <v>5246892.22</v>
      </c>
      <c r="M62" s="82">
        <v>8053074.84</v>
      </c>
      <c r="N62" s="82">
        <v>4295247.69</v>
      </c>
      <c r="O62" s="17">
        <v>5495025.39</v>
      </c>
      <c r="R62" s="591">
        <v>9592054.9</v>
      </c>
      <c r="S62" s="591">
        <f>+R62-H62-H65</f>
        <v>-27235.079999999143</v>
      </c>
      <c r="T62" s="591">
        <f>1717.84+6134.7+3321.23+1639.81+2780+5025.96+1601.51+3230.11+1633.91+150</f>
        <v>27235.07</v>
      </c>
    </row>
    <row r="63" spans="2:15" ht="18.75" hidden="1">
      <c r="B63" s="596" t="s">
        <v>309</v>
      </c>
      <c r="C63" s="596"/>
      <c r="D63" s="31"/>
      <c r="E63" s="31"/>
      <c r="F63" s="31"/>
      <c r="G63" s="31"/>
      <c r="H63" s="31"/>
      <c r="I63" s="31"/>
      <c r="J63" s="82"/>
      <c r="K63" s="82"/>
      <c r="L63" s="82"/>
      <c r="M63" s="82"/>
      <c r="N63" s="82"/>
      <c r="O63" s="17"/>
    </row>
    <row r="64" spans="2:15" ht="18.75">
      <c r="B64" s="596" t="s">
        <v>310</v>
      </c>
      <c r="C64" s="596"/>
      <c r="D64" s="31"/>
      <c r="E64" s="31"/>
      <c r="F64" s="31"/>
      <c r="G64" s="31"/>
      <c r="H64" s="402">
        <v>28530</v>
      </c>
      <c r="I64" s="82">
        <v>39919.2</v>
      </c>
      <c r="J64" s="82">
        <v>39440</v>
      </c>
      <c r="K64" s="82">
        <v>58118.28</v>
      </c>
      <c r="L64" s="82">
        <v>385788.5</v>
      </c>
      <c r="M64" s="82">
        <v>57802.2</v>
      </c>
      <c r="N64" s="82">
        <v>79829.34</v>
      </c>
      <c r="O64" s="17">
        <v>50556.89</v>
      </c>
    </row>
    <row r="65" spans="2:15" ht="18.75">
      <c r="B65" s="594" t="s">
        <v>311</v>
      </c>
      <c r="C65" s="594"/>
      <c r="D65" s="449"/>
      <c r="E65" s="449"/>
      <c r="F65" s="449"/>
      <c r="G65" s="449"/>
      <c r="H65" s="513">
        <v>7398361.56</v>
      </c>
      <c r="I65" s="82">
        <v>8499919.59</v>
      </c>
      <c r="J65" s="82">
        <v>6004195.54</v>
      </c>
      <c r="K65" s="82">
        <v>4534507.11</v>
      </c>
      <c r="L65" s="82">
        <v>5300373.66</v>
      </c>
      <c r="M65" s="82">
        <v>133535.38</v>
      </c>
      <c r="N65" s="82">
        <v>4243944.87</v>
      </c>
      <c r="O65" s="17">
        <v>2685649.48</v>
      </c>
    </row>
    <row r="66" spans="2:20" ht="18.75">
      <c r="B66" s="594" t="s">
        <v>312</v>
      </c>
      <c r="C66" s="594"/>
      <c r="D66" s="400"/>
      <c r="E66" s="400"/>
      <c r="F66" s="400"/>
      <c r="G66" s="400"/>
      <c r="H66" s="513">
        <v>6997065.76</v>
      </c>
      <c r="I66" s="82">
        <v>6000252.65</v>
      </c>
      <c r="J66" s="82">
        <v>5028999.24</v>
      </c>
      <c r="K66" s="82">
        <v>5006635.5</v>
      </c>
      <c r="L66" s="82">
        <v>5773981.46</v>
      </c>
      <c r="M66" s="82">
        <v>5962856.93</v>
      </c>
      <c r="N66" s="82">
        <v>5282460.72</v>
      </c>
      <c r="O66" s="17">
        <v>5626179.9</v>
      </c>
      <c r="R66" s="591">
        <v>7415437.46</v>
      </c>
      <c r="S66" s="591">
        <f>+H66-R66</f>
        <v>-418371.7000000002</v>
      </c>
      <c r="T66" s="173" t="s">
        <v>994</v>
      </c>
    </row>
    <row r="67" spans="2:19" ht="18.75">
      <c r="B67" s="594" t="s">
        <v>313</v>
      </c>
      <c r="C67" s="594"/>
      <c r="D67" s="400"/>
      <c r="E67" s="400"/>
      <c r="F67" s="400"/>
      <c r="G67" s="400"/>
      <c r="H67" s="513">
        <f>85632+124135</f>
        <v>209767</v>
      </c>
      <c r="I67" s="82">
        <f>45248+157125</f>
        <v>202373</v>
      </c>
      <c r="J67" s="82">
        <f>67872+78302</f>
        <v>146174</v>
      </c>
      <c r="K67" s="82">
        <f>67872+136450</f>
        <v>204322</v>
      </c>
      <c r="L67" s="82">
        <f>52320+86122</f>
        <v>138442</v>
      </c>
      <c r="M67" s="82">
        <f>6080+58788+51093</f>
        <v>115961</v>
      </c>
      <c r="N67" s="82">
        <f>52320+64976</f>
        <v>117296</v>
      </c>
      <c r="O67" s="17">
        <f>52320+78711</f>
        <v>131031</v>
      </c>
      <c r="R67" s="591">
        <v>209767</v>
      </c>
      <c r="S67" s="591">
        <f>+H67-R67</f>
        <v>0</v>
      </c>
    </row>
    <row r="68" spans="2:15" ht="18.75">
      <c r="B68" s="596" t="s">
        <v>314</v>
      </c>
      <c r="C68" s="596"/>
      <c r="D68" s="31"/>
      <c r="E68" s="31"/>
      <c r="F68" s="31"/>
      <c r="G68" s="31"/>
      <c r="H68" s="402">
        <f>252464+3180</f>
        <v>255644</v>
      </c>
      <c r="I68" s="82">
        <v>164388.63</v>
      </c>
      <c r="J68" s="82">
        <v>141469.81</v>
      </c>
      <c r="K68" s="82">
        <v>148967.57</v>
      </c>
      <c r="L68" s="82">
        <v>146848</v>
      </c>
      <c r="M68" s="82">
        <v>150505.6</v>
      </c>
      <c r="N68" s="82">
        <v>193455.17</v>
      </c>
      <c r="O68" s="17">
        <v>125209</v>
      </c>
    </row>
    <row r="69" spans="2:15" ht="18.75">
      <c r="B69" s="596" t="s">
        <v>315</v>
      </c>
      <c r="C69" s="596"/>
      <c r="D69" s="31"/>
      <c r="E69" s="31"/>
      <c r="F69" s="31"/>
      <c r="G69" s="31"/>
      <c r="H69" s="402">
        <v>240000</v>
      </c>
      <c r="I69" s="82">
        <v>272299.97</v>
      </c>
      <c r="J69" s="82">
        <v>456266.59</v>
      </c>
      <c r="K69" s="82">
        <v>246816.56</v>
      </c>
      <c r="L69" s="82">
        <v>406116.6</v>
      </c>
      <c r="M69" s="82">
        <v>460230.51</v>
      </c>
      <c r="N69" s="82">
        <v>460200</v>
      </c>
      <c r="O69" s="17">
        <v>389400</v>
      </c>
    </row>
    <row r="70" spans="2:15" ht="18.75" hidden="1">
      <c r="B70" s="596" t="s">
        <v>316</v>
      </c>
      <c r="C70" s="596"/>
      <c r="D70" s="31"/>
      <c r="E70" s="31"/>
      <c r="F70" s="31"/>
      <c r="G70" s="31"/>
      <c r="H70" s="402"/>
      <c r="I70" s="82"/>
      <c r="J70" s="82"/>
      <c r="K70" s="82"/>
      <c r="L70" s="82"/>
      <c r="M70" s="82"/>
      <c r="N70" s="82"/>
      <c r="O70" s="17"/>
    </row>
    <row r="71" spans="2:15" ht="18.75" hidden="1">
      <c r="B71" s="596" t="s">
        <v>317</v>
      </c>
      <c r="C71" s="596"/>
      <c r="D71" s="31"/>
      <c r="E71" s="31"/>
      <c r="F71" s="31"/>
      <c r="G71" s="31"/>
      <c r="H71" s="402"/>
      <c r="I71" s="82"/>
      <c r="J71" s="82"/>
      <c r="K71" s="82"/>
      <c r="L71" s="82"/>
      <c r="M71" s="82"/>
      <c r="N71" s="82"/>
      <c r="O71" s="17"/>
    </row>
    <row r="72" spans="2:15" ht="18.75" hidden="1">
      <c r="B72" s="596" t="s">
        <v>318</v>
      </c>
      <c r="C72" s="596"/>
      <c r="D72" s="31"/>
      <c r="E72" s="31"/>
      <c r="F72" s="31"/>
      <c r="G72" s="31"/>
      <c r="H72" s="402"/>
      <c r="I72" s="82"/>
      <c r="J72" s="82"/>
      <c r="K72" s="82"/>
      <c r="L72" s="82"/>
      <c r="M72" s="82"/>
      <c r="N72" s="82"/>
      <c r="O72" s="17"/>
    </row>
    <row r="73" spans="2:15" ht="18.75" hidden="1">
      <c r="B73" s="596" t="s">
        <v>319</v>
      </c>
      <c r="C73" s="596"/>
      <c r="D73" s="31"/>
      <c r="E73" s="31"/>
      <c r="F73" s="31"/>
      <c r="G73" s="31"/>
      <c r="H73" s="402"/>
      <c r="I73" s="82"/>
      <c r="J73" s="82"/>
      <c r="K73" s="82"/>
      <c r="L73" s="82"/>
      <c r="M73" s="82"/>
      <c r="N73" s="82"/>
      <c r="O73" s="17"/>
    </row>
    <row r="74" spans="2:19" ht="18.75">
      <c r="B74" s="596" t="s">
        <v>320</v>
      </c>
      <c r="C74" s="596"/>
      <c r="D74" s="31"/>
      <c r="E74" s="31"/>
      <c r="F74" s="31"/>
      <c r="G74" s="31"/>
      <c r="H74" s="402">
        <v>6996219</v>
      </c>
      <c r="I74" s="82">
        <v>19940328.7</v>
      </c>
      <c r="J74" s="82">
        <v>16130720.45</v>
      </c>
      <c r="K74" s="82">
        <v>14103158.53</v>
      </c>
      <c r="L74" s="82">
        <v>16878722.64</v>
      </c>
      <c r="M74" s="82">
        <v>13143057.35</v>
      </c>
      <c r="N74" s="82">
        <v>16454604.38</v>
      </c>
      <c r="O74" s="17">
        <v>15708260.12</v>
      </c>
      <c r="R74" s="591">
        <v>18943924.5</v>
      </c>
      <c r="S74" s="591">
        <f>+R74-H75-H74-H76</f>
        <v>-1273731.8000000003</v>
      </c>
    </row>
    <row r="75" spans="2:23" ht="18.75">
      <c r="B75" s="594" t="s">
        <v>321</v>
      </c>
      <c r="C75" s="594"/>
      <c r="D75" s="400"/>
      <c r="E75" s="400"/>
      <c r="F75" s="400"/>
      <c r="G75" s="400"/>
      <c r="H75" s="513">
        <v>13101938.9</v>
      </c>
      <c r="I75" s="82">
        <v>271825.97</v>
      </c>
      <c r="J75" s="82">
        <v>271935.7</v>
      </c>
      <c r="K75" s="82">
        <v>51480.1</v>
      </c>
      <c r="L75" s="82">
        <v>50610.5</v>
      </c>
      <c r="M75" s="82">
        <v>251560.44</v>
      </c>
      <c r="N75" s="82">
        <v>194486.56</v>
      </c>
      <c r="O75" s="17">
        <v>199866.98</v>
      </c>
      <c r="R75" s="591"/>
      <c r="S75" s="591"/>
      <c r="T75" s="208">
        <v>10022.9</v>
      </c>
      <c r="U75" s="208">
        <v>68127.3</v>
      </c>
      <c r="V75" s="208">
        <f>59000+59000+580000+59000+29500+59000+59000+59000+59000+59000</f>
        <v>1081500</v>
      </c>
      <c r="W75" s="593"/>
    </row>
    <row r="76" spans="2:51" s="4" customFormat="1" ht="18.75">
      <c r="B76" s="596" t="s">
        <v>881</v>
      </c>
      <c r="C76" s="596"/>
      <c r="D76" s="31"/>
      <c r="E76" s="31"/>
      <c r="F76" s="31"/>
      <c r="G76" s="31"/>
      <c r="H76" s="402">
        <v>119498.4</v>
      </c>
      <c r="I76" s="402"/>
      <c r="J76" s="402"/>
      <c r="K76" s="402"/>
      <c r="L76" s="402"/>
      <c r="M76" s="402"/>
      <c r="N76" s="402"/>
      <c r="O76" s="17"/>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U76" s="172"/>
      <c r="AV76" s="172"/>
      <c r="AW76" s="172"/>
      <c r="AX76" s="172"/>
      <c r="AY76" s="172"/>
    </row>
    <row r="77" spans="2:24" ht="18.75">
      <c r="B77" s="594" t="s">
        <v>579</v>
      </c>
      <c r="C77" s="594"/>
      <c r="D77" s="400"/>
      <c r="E77" s="400"/>
      <c r="F77" s="400"/>
      <c r="G77" s="400"/>
      <c r="H77" s="513">
        <v>1135705.16</v>
      </c>
      <c r="I77" s="82">
        <v>748834.59</v>
      </c>
      <c r="J77" s="82">
        <v>228210</v>
      </c>
      <c r="K77" s="82">
        <v>562309.35</v>
      </c>
      <c r="L77" s="82">
        <v>645760</v>
      </c>
      <c r="M77" s="82">
        <v>312630.62</v>
      </c>
      <c r="N77" s="82">
        <v>540811.64</v>
      </c>
      <c r="O77" s="17">
        <v>232440</v>
      </c>
      <c r="R77" s="591">
        <v>1182395.47</v>
      </c>
      <c r="S77" s="591">
        <f>+H77-R77</f>
        <v>-46690.310000000056</v>
      </c>
      <c r="W77" s="591">
        <f>24276.48+42500</f>
        <v>66776.48</v>
      </c>
      <c r="X77" s="591"/>
    </row>
    <row r="78" spans="2:15" ht="18.75" hidden="1">
      <c r="B78" s="594" t="s">
        <v>515</v>
      </c>
      <c r="C78" s="594"/>
      <c r="D78" s="400"/>
      <c r="E78" s="400"/>
      <c r="F78" s="400"/>
      <c r="G78" s="400"/>
      <c r="H78" s="513"/>
      <c r="I78" s="82"/>
      <c r="J78" s="82">
        <v>245316.87</v>
      </c>
      <c r="K78" s="82">
        <v>1378498.92</v>
      </c>
      <c r="L78" s="82">
        <v>687856.62</v>
      </c>
      <c r="M78" s="82">
        <v>1053706.27</v>
      </c>
      <c r="N78" s="82">
        <v>650089.47</v>
      </c>
      <c r="O78" s="17">
        <v>626737.91</v>
      </c>
    </row>
    <row r="79" spans="2:15" ht="18.75" hidden="1">
      <c r="B79" s="594" t="s">
        <v>529</v>
      </c>
      <c r="C79" s="594"/>
      <c r="D79" s="400"/>
      <c r="E79" s="400"/>
      <c r="F79" s="400"/>
      <c r="G79" s="400"/>
      <c r="H79" s="513"/>
      <c r="I79" s="82"/>
      <c r="J79" s="82"/>
      <c r="K79" s="82">
        <v>9600</v>
      </c>
      <c r="L79" s="82">
        <v>25123</v>
      </c>
      <c r="M79" s="82"/>
      <c r="N79" s="82">
        <v>33817.28</v>
      </c>
      <c r="O79" s="17"/>
    </row>
    <row r="80" spans="2:19" ht="18.75">
      <c r="B80" s="594" t="s">
        <v>322</v>
      </c>
      <c r="C80" s="594"/>
      <c r="D80" s="400"/>
      <c r="E80" s="400"/>
      <c r="F80" s="400"/>
      <c r="G80" s="400"/>
      <c r="H80" s="513">
        <v>250892.34</v>
      </c>
      <c r="I80" s="82">
        <v>223297.17</v>
      </c>
      <c r="J80" s="82">
        <v>188700.54</v>
      </c>
      <c r="K80" s="82">
        <v>1873012.07</v>
      </c>
      <c r="L80" s="82">
        <v>704029.59</v>
      </c>
      <c r="M80" s="82">
        <v>738320.06</v>
      </c>
      <c r="N80" s="82">
        <v>746187.62</v>
      </c>
      <c r="O80" s="17">
        <v>2366115.76</v>
      </c>
      <c r="R80" s="591">
        <v>139526.07</v>
      </c>
      <c r="S80" s="591">
        <f>+H80-R80</f>
        <v>111366.26999999999</v>
      </c>
    </row>
    <row r="81" spans="2:20" ht="18.75">
      <c r="B81" s="594" t="s">
        <v>323</v>
      </c>
      <c r="C81" s="594"/>
      <c r="D81" s="400"/>
      <c r="E81" s="400"/>
      <c r="F81" s="400"/>
      <c r="G81" s="400"/>
      <c r="H81" s="513">
        <v>36186</v>
      </c>
      <c r="I81" s="82">
        <v>12000</v>
      </c>
      <c r="J81" s="82"/>
      <c r="K81" s="82"/>
      <c r="L81" s="82"/>
      <c r="M81" s="82">
        <v>47490.43</v>
      </c>
      <c r="N81" s="82"/>
      <c r="O81" s="17">
        <v>400</v>
      </c>
      <c r="R81" s="591">
        <v>33100</v>
      </c>
      <c r="S81" s="591">
        <f>+H81-R81</f>
        <v>3086</v>
      </c>
      <c r="T81" s="208">
        <v>3186</v>
      </c>
    </row>
    <row r="82" spans="2:20" ht="18.75">
      <c r="B82" s="594" t="s">
        <v>324</v>
      </c>
      <c r="C82" s="594"/>
      <c r="D82" s="400"/>
      <c r="E82" s="400"/>
      <c r="F82" s="400"/>
      <c r="G82" s="400"/>
      <c r="H82" s="513">
        <v>82140</v>
      </c>
      <c r="I82" s="82">
        <v>67497</v>
      </c>
      <c r="J82" s="82">
        <v>22660</v>
      </c>
      <c r="K82" s="82">
        <v>37267</v>
      </c>
      <c r="L82" s="82">
        <v>45485</v>
      </c>
      <c r="M82" s="82">
        <v>17835</v>
      </c>
      <c r="N82" s="82">
        <v>32825</v>
      </c>
      <c r="O82" s="17">
        <v>14077</v>
      </c>
      <c r="R82" s="591">
        <v>84291.83</v>
      </c>
      <c r="S82" s="591">
        <f>+R82-H82</f>
        <v>2151.8300000000017</v>
      </c>
      <c r="T82" s="208">
        <v>240</v>
      </c>
    </row>
    <row r="83" spans="2:15" ht="18.75">
      <c r="B83" s="596" t="s">
        <v>325</v>
      </c>
      <c r="C83" s="596"/>
      <c r="D83" s="31"/>
      <c r="E83" s="31"/>
      <c r="F83" s="31"/>
      <c r="G83" s="31"/>
      <c r="H83" s="402">
        <v>673066.68</v>
      </c>
      <c r="I83" s="82">
        <v>607066.68</v>
      </c>
      <c r="J83" s="82">
        <v>579511.13</v>
      </c>
      <c r="K83" s="82">
        <v>272711.12</v>
      </c>
      <c r="L83" s="82">
        <v>613600.02</v>
      </c>
      <c r="M83" s="82">
        <v>248428.84</v>
      </c>
      <c r="N83" s="82">
        <v>545422.24</v>
      </c>
      <c r="O83" s="17">
        <v>75699</v>
      </c>
    </row>
    <row r="84" spans="2:51" s="4" customFormat="1" ht="18.75">
      <c r="B84" s="596" t="s">
        <v>882</v>
      </c>
      <c r="C84" s="596"/>
      <c r="D84" s="31"/>
      <c r="E84" s="31"/>
      <c r="F84" s="31"/>
      <c r="G84" s="31"/>
      <c r="H84" s="402">
        <v>26019</v>
      </c>
      <c r="I84" s="402"/>
      <c r="J84" s="402"/>
      <c r="K84" s="402"/>
      <c r="L84" s="402"/>
      <c r="M84" s="402"/>
      <c r="N84" s="402"/>
      <c r="O84" s="17"/>
      <c r="Q84" s="173"/>
      <c r="R84" s="173"/>
      <c r="S84" s="173"/>
      <c r="T84" s="173"/>
      <c r="U84" s="173"/>
      <c r="V84" s="173"/>
      <c r="W84" s="173"/>
      <c r="X84" s="173"/>
      <c r="Y84" s="173"/>
      <c r="Z84" s="173"/>
      <c r="AA84" s="173"/>
      <c r="AB84" s="173"/>
      <c r="AC84" s="173"/>
      <c r="AD84" s="173"/>
      <c r="AE84" s="173"/>
      <c r="AF84" s="173"/>
      <c r="AG84" s="173"/>
      <c r="AH84" s="173"/>
      <c r="AI84" s="173"/>
      <c r="AJ84" s="173"/>
      <c r="AK84" s="173"/>
      <c r="AL84" s="173"/>
      <c r="AM84" s="173"/>
      <c r="AN84" s="173"/>
      <c r="AO84" s="173"/>
      <c r="AP84" s="173"/>
      <c r="AQ84" s="173"/>
      <c r="AR84" s="173"/>
      <c r="AS84" s="173"/>
      <c r="AT84" s="173"/>
      <c r="AU84" s="172"/>
      <c r="AV84" s="172"/>
      <c r="AW84" s="172"/>
      <c r="AX84" s="172"/>
      <c r="AY84" s="172"/>
    </row>
    <row r="85" spans="2:15" ht="18.75" hidden="1">
      <c r="B85" s="596" t="s">
        <v>326</v>
      </c>
      <c r="C85" s="596"/>
      <c r="D85" s="31"/>
      <c r="E85" s="31"/>
      <c r="F85" s="31"/>
      <c r="G85" s="31"/>
      <c r="H85" s="402"/>
      <c r="I85" s="82"/>
      <c r="J85" s="82"/>
      <c r="K85" s="82"/>
      <c r="L85" s="82"/>
      <c r="M85" s="82"/>
      <c r="N85" s="82"/>
      <c r="O85" s="17">
        <v>22962.7</v>
      </c>
    </row>
    <row r="86" spans="2:15" ht="18.75" hidden="1">
      <c r="B86" s="596" t="s">
        <v>327</v>
      </c>
      <c r="C86" s="596"/>
      <c r="D86" s="31"/>
      <c r="E86" s="31"/>
      <c r="F86" s="31"/>
      <c r="G86" s="31"/>
      <c r="H86" s="402"/>
      <c r="I86" s="82"/>
      <c r="J86" s="82"/>
      <c r="K86" s="82"/>
      <c r="L86" s="82"/>
      <c r="M86" s="82"/>
      <c r="N86" s="82"/>
      <c r="O86" s="17"/>
    </row>
    <row r="87" spans="2:15" ht="18.75" hidden="1">
      <c r="B87" s="596" t="s">
        <v>328</v>
      </c>
      <c r="C87" s="596"/>
      <c r="D87" s="31"/>
      <c r="E87" s="31"/>
      <c r="F87" s="31"/>
      <c r="G87" s="31"/>
      <c r="H87" s="402"/>
      <c r="I87" s="82"/>
      <c r="J87" s="82"/>
      <c r="K87" s="82"/>
      <c r="L87" s="82"/>
      <c r="M87" s="82">
        <v>312000</v>
      </c>
      <c r="N87" s="82">
        <v>3532</v>
      </c>
      <c r="O87" s="17">
        <v>5280.68</v>
      </c>
    </row>
    <row r="88" spans="2:15" ht="18.75" hidden="1">
      <c r="B88" s="596" t="s">
        <v>329</v>
      </c>
      <c r="C88" s="596"/>
      <c r="D88" s="31"/>
      <c r="E88" s="31"/>
      <c r="F88" s="31"/>
      <c r="G88" s="31"/>
      <c r="H88" s="402"/>
      <c r="I88" s="82"/>
      <c r="J88" s="82"/>
      <c r="K88" s="82"/>
      <c r="L88" s="82"/>
      <c r="M88" s="82">
        <v>602388.47</v>
      </c>
      <c r="N88" s="82"/>
      <c r="O88" s="17">
        <v>479554.17</v>
      </c>
    </row>
    <row r="89" spans="2:15" ht="18.75">
      <c r="B89" s="596" t="s">
        <v>330</v>
      </c>
      <c r="C89" s="596"/>
      <c r="D89" s="31"/>
      <c r="E89" s="31"/>
      <c r="F89" s="31"/>
      <c r="G89" s="31"/>
      <c r="H89" s="402">
        <v>210833.96</v>
      </c>
      <c r="I89" s="82">
        <v>166625.4</v>
      </c>
      <c r="J89" s="82">
        <v>153573.86</v>
      </c>
      <c r="K89" s="82">
        <v>199925.4</v>
      </c>
      <c r="L89" s="82">
        <v>10164</v>
      </c>
      <c r="M89" s="82">
        <v>102216.3</v>
      </c>
      <c r="N89" s="82"/>
      <c r="O89" s="17">
        <v>106868</v>
      </c>
    </row>
    <row r="90" spans="2:15" ht="18.75" hidden="1">
      <c r="B90" s="596" t="s">
        <v>331</v>
      </c>
      <c r="C90" s="596"/>
      <c r="D90" s="31"/>
      <c r="E90" s="31"/>
      <c r="F90" s="31"/>
      <c r="G90" s="31"/>
      <c r="H90" s="402"/>
      <c r="I90" s="82"/>
      <c r="J90" s="82"/>
      <c r="K90" s="82"/>
      <c r="L90" s="82"/>
      <c r="M90" s="82"/>
      <c r="N90" s="82"/>
      <c r="O90" s="17"/>
    </row>
    <row r="91" spans="2:15" ht="18.75">
      <c r="B91" s="596" t="s">
        <v>332</v>
      </c>
      <c r="C91" s="596"/>
      <c r="D91" s="31"/>
      <c r="E91" s="31"/>
      <c r="F91" s="31"/>
      <c r="G91" s="31"/>
      <c r="H91" s="402">
        <v>898513.51</v>
      </c>
      <c r="I91" s="82">
        <v>898338.58</v>
      </c>
      <c r="J91" s="82">
        <v>897131.53</v>
      </c>
      <c r="K91" s="82">
        <v>953124.67</v>
      </c>
      <c r="L91" s="82">
        <v>910950.49</v>
      </c>
      <c r="M91" s="82">
        <v>679232.52</v>
      </c>
      <c r="N91" s="82">
        <v>884382.48</v>
      </c>
      <c r="O91" s="17">
        <v>886401.68</v>
      </c>
    </row>
    <row r="92" spans="2:15" ht="18.75">
      <c r="B92" s="596" t="s">
        <v>333</v>
      </c>
      <c r="C92" s="596"/>
      <c r="D92" s="31"/>
      <c r="E92" s="31"/>
      <c r="F92" s="31"/>
      <c r="G92" s="31"/>
      <c r="H92" s="402">
        <v>836571.63</v>
      </c>
      <c r="I92" s="82">
        <v>728902.12</v>
      </c>
      <c r="J92" s="82">
        <v>727211.34</v>
      </c>
      <c r="K92" s="82">
        <v>741335.17</v>
      </c>
      <c r="L92" s="82">
        <v>627545.28</v>
      </c>
      <c r="M92" s="82">
        <v>560586.2</v>
      </c>
      <c r="N92" s="82">
        <v>494739.78</v>
      </c>
      <c r="O92" s="17">
        <v>418215.3</v>
      </c>
    </row>
    <row r="93" spans="1:16" ht="18.75">
      <c r="A93" s="92"/>
      <c r="B93" s="596" t="s">
        <v>334</v>
      </c>
      <c r="C93" s="596"/>
      <c r="D93" s="31"/>
      <c r="E93" s="31"/>
      <c r="F93" s="31"/>
      <c r="G93" s="31"/>
      <c r="H93" s="402">
        <v>2512815.85</v>
      </c>
      <c r="I93" s="82">
        <v>2153382.69</v>
      </c>
      <c r="J93" s="82">
        <v>1866290.4</v>
      </c>
      <c r="K93" s="82">
        <v>1293357.91</v>
      </c>
      <c r="L93" s="82">
        <v>11579.64</v>
      </c>
      <c r="M93" s="82">
        <v>11579.76</v>
      </c>
      <c r="N93" s="82">
        <v>12544.72</v>
      </c>
      <c r="O93" s="17">
        <v>15366.56</v>
      </c>
      <c r="P93" s="174">
        <f>+K93-L93</f>
        <v>1281778.27</v>
      </c>
    </row>
    <row r="94" spans="2:15" ht="18.75">
      <c r="B94" s="596" t="s">
        <v>335</v>
      </c>
      <c r="C94" s="596"/>
      <c r="D94" s="31"/>
      <c r="E94" s="31"/>
      <c r="F94" s="31"/>
      <c r="G94" s="31"/>
      <c r="H94" s="402">
        <v>6808.14</v>
      </c>
      <c r="I94" s="82">
        <v>28484.95</v>
      </c>
      <c r="J94" s="82">
        <v>45269.72</v>
      </c>
      <c r="K94" s="82">
        <v>47781.07</v>
      </c>
      <c r="L94" s="82">
        <v>45575.89</v>
      </c>
      <c r="M94" s="82">
        <v>45575.88</v>
      </c>
      <c r="N94" s="82">
        <v>45575.88</v>
      </c>
      <c r="O94" s="17">
        <v>45575.88</v>
      </c>
    </row>
    <row r="95" spans="2:15" ht="18.75" hidden="1">
      <c r="B95" s="596" t="s">
        <v>336</v>
      </c>
      <c r="C95" s="596"/>
      <c r="D95" s="31"/>
      <c r="E95" s="31"/>
      <c r="F95" s="31"/>
      <c r="G95" s="31"/>
      <c r="H95" s="402"/>
      <c r="I95" s="82"/>
      <c r="J95" s="82"/>
      <c r="K95" s="82"/>
      <c r="L95" s="82"/>
      <c r="M95" s="82">
        <v>180252.96</v>
      </c>
      <c r="N95" s="82"/>
      <c r="O95" s="17">
        <v>120168.64</v>
      </c>
    </row>
    <row r="96" spans="2:15" ht="18.75" hidden="1">
      <c r="B96" s="596" t="s">
        <v>337</v>
      </c>
      <c r="C96" s="596"/>
      <c r="D96" s="31"/>
      <c r="E96" s="31"/>
      <c r="F96" s="31"/>
      <c r="G96" s="31"/>
      <c r="H96" s="402"/>
      <c r="I96" s="82"/>
      <c r="J96" s="82"/>
      <c r="K96" s="82"/>
      <c r="L96" s="82"/>
      <c r="M96" s="82">
        <v>2899.98</v>
      </c>
      <c r="N96" s="82"/>
      <c r="O96" s="17"/>
    </row>
    <row r="97" spans="2:15" ht="18.75">
      <c r="B97" s="596" t="s">
        <v>607</v>
      </c>
      <c r="C97" s="596"/>
      <c r="D97" s="31"/>
      <c r="E97" s="31"/>
      <c r="F97" s="31"/>
      <c r="G97" s="31"/>
      <c r="H97" s="402"/>
      <c r="I97" s="82">
        <v>59647</v>
      </c>
      <c r="J97" s="82"/>
      <c r="K97" s="82">
        <v>50781.97</v>
      </c>
      <c r="L97" s="82"/>
      <c r="M97" s="82"/>
      <c r="N97" s="82"/>
      <c r="O97" s="17"/>
    </row>
    <row r="98" spans="1:51" s="4" customFormat="1" ht="18.75">
      <c r="A98" s="92" t="s">
        <v>97</v>
      </c>
      <c r="B98" s="596" t="s">
        <v>685</v>
      </c>
      <c r="C98" s="596"/>
      <c r="D98" s="31"/>
      <c r="E98" s="31"/>
      <c r="F98" s="31"/>
      <c r="G98" s="31"/>
      <c r="H98" s="402">
        <f>892482.68+10133.34+675.56</f>
        <v>903291.5800000001</v>
      </c>
      <c r="I98" s="82">
        <v>3951025.2</v>
      </c>
      <c r="J98" s="82"/>
      <c r="K98" s="82"/>
      <c r="L98" s="82"/>
      <c r="M98" s="82"/>
      <c r="N98" s="82"/>
      <c r="O98" s="17"/>
      <c r="Q98" s="173"/>
      <c r="R98" s="173"/>
      <c r="S98" s="173"/>
      <c r="T98" s="173"/>
      <c r="U98" s="173"/>
      <c r="V98" s="173"/>
      <c r="W98" s="173"/>
      <c r="X98" s="173"/>
      <c r="Y98" s="173"/>
      <c r="Z98" s="173"/>
      <c r="AA98" s="173"/>
      <c r="AB98" s="173"/>
      <c r="AC98" s="173"/>
      <c r="AD98" s="173"/>
      <c r="AE98" s="173"/>
      <c r="AF98" s="173"/>
      <c r="AG98" s="173"/>
      <c r="AH98" s="173"/>
      <c r="AI98" s="173"/>
      <c r="AJ98" s="173"/>
      <c r="AK98" s="173"/>
      <c r="AL98" s="173"/>
      <c r="AM98" s="173"/>
      <c r="AN98" s="173"/>
      <c r="AO98" s="173"/>
      <c r="AP98" s="173"/>
      <c r="AQ98" s="173"/>
      <c r="AR98" s="173"/>
      <c r="AS98" s="173"/>
      <c r="AT98" s="173"/>
      <c r="AU98" s="172"/>
      <c r="AV98" s="172"/>
      <c r="AW98" s="172"/>
      <c r="AX98" s="172"/>
      <c r="AY98" s="172"/>
    </row>
    <row r="99" spans="2:15" ht="18.75">
      <c r="B99" s="596" t="s">
        <v>338</v>
      </c>
      <c r="C99" s="596"/>
      <c r="D99" s="31"/>
      <c r="E99" s="31"/>
      <c r="F99" s="31"/>
      <c r="G99" s="31"/>
      <c r="H99" s="402">
        <v>465456.96</v>
      </c>
      <c r="I99" s="82">
        <v>653445.53</v>
      </c>
      <c r="J99" s="82">
        <v>360198.64</v>
      </c>
      <c r="K99" s="82">
        <v>273675.28</v>
      </c>
      <c r="L99" s="82">
        <v>291705.24</v>
      </c>
      <c r="M99" s="82">
        <v>144310.78</v>
      </c>
      <c r="N99" s="82">
        <v>414474.96</v>
      </c>
      <c r="O99" s="17">
        <v>311656.51</v>
      </c>
    </row>
    <row r="100" spans="2:15" ht="18.75" hidden="1">
      <c r="B100" s="596" t="s">
        <v>339</v>
      </c>
      <c r="C100" s="596"/>
      <c r="D100" s="31"/>
      <c r="E100" s="31"/>
      <c r="F100" s="31"/>
      <c r="G100" s="31"/>
      <c r="H100" s="402"/>
      <c r="I100" s="82"/>
      <c r="J100" s="82"/>
      <c r="K100" s="82"/>
      <c r="L100" s="82"/>
      <c r="M100" s="82"/>
      <c r="N100" s="82"/>
      <c r="O100" s="17"/>
    </row>
    <row r="101" spans="2:15" ht="18.75">
      <c r="B101" s="596" t="s">
        <v>340</v>
      </c>
      <c r="C101" s="596"/>
      <c r="D101" s="31"/>
      <c r="E101" s="31"/>
      <c r="F101" s="31"/>
      <c r="G101" s="31"/>
      <c r="H101" s="402">
        <v>1934541.21</v>
      </c>
      <c r="I101" s="82">
        <v>1223929.67</v>
      </c>
      <c r="J101" s="82">
        <v>1636829.06</v>
      </c>
      <c r="K101" s="82">
        <v>1832976.31</v>
      </c>
      <c r="L101" s="82">
        <v>1087509.44</v>
      </c>
      <c r="M101" s="82">
        <v>2351724.11</v>
      </c>
      <c r="N101" s="82">
        <v>1730784.73</v>
      </c>
      <c r="O101" s="17">
        <v>1978783.09</v>
      </c>
    </row>
    <row r="102" spans="2:15" ht="18.75" hidden="1">
      <c r="B102" s="596" t="s">
        <v>341</v>
      </c>
      <c r="C102" s="596"/>
      <c r="D102" s="31"/>
      <c r="E102" s="31"/>
      <c r="F102" s="31"/>
      <c r="G102" s="31"/>
      <c r="H102" s="402"/>
      <c r="I102" s="82"/>
      <c r="J102" s="82"/>
      <c r="K102" s="82"/>
      <c r="L102" s="82"/>
      <c r="M102" s="82"/>
      <c r="N102" s="82"/>
      <c r="O102" s="17"/>
    </row>
    <row r="103" spans="2:15" ht="18.75">
      <c r="B103" s="596" t="s">
        <v>686</v>
      </c>
      <c r="C103" s="596"/>
      <c r="D103" s="31"/>
      <c r="E103" s="31"/>
      <c r="F103" s="31"/>
      <c r="G103" s="31"/>
      <c r="H103" s="402">
        <v>125000</v>
      </c>
      <c r="I103" s="82">
        <v>100000</v>
      </c>
      <c r="J103" s="82"/>
      <c r="K103" s="82"/>
      <c r="L103" s="82"/>
      <c r="M103" s="82"/>
      <c r="N103" s="82"/>
      <c r="O103" s="17"/>
    </row>
    <row r="104" spans="2:15" ht="18.75">
      <c r="B104" s="596" t="s">
        <v>342</v>
      </c>
      <c r="C104" s="596"/>
      <c r="D104" s="31"/>
      <c r="E104" s="31"/>
      <c r="F104" s="31"/>
      <c r="G104" s="31"/>
      <c r="H104" s="402">
        <v>808559.6</v>
      </c>
      <c r="I104" s="82">
        <v>48201.48</v>
      </c>
      <c r="J104" s="82">
        <v>364354.46</v>
      </c>
      <c r="K104" s="82">
        <v>215994.2</v>
      </c>
      <c r="L104" s="82">
        <v>549356.55</v>
      </c>
      <c r="M104" s="82">
        <v>687327.45</v>
      </c>
      <c r="N104" s="82">
        <v>99151.28</v>
      </c>
      <c r="O104" s="17">
        <v>166010</v>
      </c>
    </row>
    <row r="105" spans="2:15" ht="33" customHeight="1" hidden="1">
      <c r="B105" s="596" t="s">
        <v>343</v>
      </c>
      <c r="C105" s="596"/>
      <c r="D105" s="31"/>
      <c r="E105" s="31"/>
      <c r="F105" s="31"/>
      <c r="G105" s="31"/>
      <c r="H105" s="402"/>
      <c r="I105" s="82"/>
      <c r="J105" s="82"/>
      <c r="K105" s="82"/>
      <c r="L105" s="82"/>
      <c r="M105" s="82"/>
      <c r="N105" s="82"/>
      <c r="O105" s="17"/>
    </row>
    <row r="106" spans="2:15" ht="18.75" hidden="1">
      <c r="B106" s="596" t="s">
        <v>344</v>
      </c>
      <c r="C106" s="596"/>
      <c r="D106" s="31"/>
      <c r="E106" s="31"/>
      <c r="F106" s="31"/>
      <c r="G106" s="31"/>
      <c r="H106" s="402"/>
      <c r="I106" s="82"/>
      <c r="J106" s="82"/>
      <c r="K106" s="82"/>
      <c r="L106" s="82"/>
      <c r="M106" s="82"/>
      <c r="N106" s="82"/>
      <c r="O106" s="17"/>
    </row>
    <row r="107" spans="2:15" ht="18.75" hidden="1">
      <c r="B107" s="596" t="s">
        <v>345</v>
      </c>
      <c r="C107" s="596"/>
      <c r="D107" s="31"/>
      <c r="E107" s="31"/>
      <c r="F107" s="31"/>
      <c r="G107" s="31"/>
      <c r="H107" s="402"/>
      <c r="I107" s="82"/>
      <c r="J107" s="82"/>
      <c r="K107" s="82"/>
      <c r="L107" s="82"/>
      <c r="M107" s="82"/>
      <c r="N107" s="82"/>
      <c r="O107" s="17"/>
    </row>
    <row r="108" spans="2:15" ht="18.75">
      <c r="B108" s="596" t="s">
        <v>346</v>
      </c>
      <c r="C108" s="596"/>
      <c r="D108" s="31"/>
      <c r="E108" s="31"/>
      <c r="F108" s="31"/>
      <c r="G108" s="31"/>
      <c r="H108" s="402">
        <v>16166</v>
      </c>
      <c r="I108" s="82">
        <v>12272</v>
      </c>
      <c r="J108" s="82"/>
      <c r="K108" s="82"/>
      <c r="L108" s="82"/>
      <c r="M108" s="82"/>
      <c r="N108" s="82"/>
      <c r="O108" s="17"/>
    </row>
    <row r="109" spans="2:15" ht="18.75">
      <c r="B109" s="596" t="s">
        <v>580</v>
      </c>
      <c r="C109" s="596"/>
      <c r="D109" s="31"/>
      <c r="E109" s="31"/>
      <c r="F109" s="31"/>
      <c r="G109" s="31"/>
      <c r="H109" s="402">
        <v>15751.99</v>
      </c>
      <c r="I109" s="82">
        <f>11759.1+322726.18</f>
        <v>334485.27999999997</v>
      </c>
      <c r="J109" s="82">
        <f>58510.1+23545.44</f>
        <v>82055.54</v>
      </c>
      <c r="K109" s="82">
        <f>466652.2+13500</f>
        <v>480152.2</v>
      </c>
      <c r="L109" s="82">
        <f>4160.23+74812.51+20700.94+16631.8</f>
        <v>116305.48</v>
      </c>
      <c r="M109" s="82">
        <v>11371</v>
      </c>
      <c r="N109" s="82">
        <f>16600+100065.83</f>
        <v>116665.83</v>
      </c>
      <c r="O109" s="17">
        <f>91102.2+12400</f>
        <v>103502.2</v>
      </c>
    </row>
    <row r="110" spans="2:15" ht="18.75" hidden="1">
      <c r="B110" s="596" t="s">
        <v>349</v>
      </c>
      <c r="C110" s="596"/>
      <c r="D110" s="31"/>
      <c r="E110" s="31"/>
      <c r="F110" s="31"/>
      <c r="G110" s="31"/>
      <c r="H110" s="402"/>
      <c r="I110" s="82"/>
      <c r="J110" s="82"/>
      <c r="K110" s="82"/>
      <c r="L110" s="82">
        <v>3000</v>
      </c>
      <c r="M110" s="82"/>
      <c r="N110" s="82">
        <v>0</v>
      </c>
      <c r="O110" s="17"/>
    </row>
    <row r="111" spans="2:51" s="4" customFormat="1" ht="18.75">
      <c r="B111" s="596" t="s">
        <v>883</v>
      </c>
      <c r="C111" s="596"/>
      <c r="D111" s="31"/>
      <c r="E111" s="31"/>
      <c r="F111" s="31"/>
      <c r="G111" s="31"/>
      <c r="H111" s="402">
        <v>396050</v>
      </c>
      <c r="I111" s="402"/>
      <c r="J111" s="402"/>
      <c r="K111" s="402"/>
      <c r="L111" s="402"/>
      <c r="M111" s="402"/>
      <c r="N111" s="402"/>
      <c r="O111" s="17"/>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c r="AL111" s="173"/>
      <c r="AM111" s="173"/>
      <c r="AN111" s="173"/>
      <c r="AO111" s="173"/>
      <c r="AP111" s="173"/>
      <c r="AQ111" s="173"/>
      <c r="AR111" s="173"/>
      <c r="AS111" s="173"/>
      <c r="AT111" s="173"/>
      <c r="AU111" s="172"/>
      <c r="AV111" s="172"/>
      <c r="AW111" s="172"/>
      <c r="AX111" s="172"/>
      <c r="AY111" s="172"/>
    </row>
    <row r="112" spans="2:15" ht="18.75">
      <c r="B112" s="596" t="s">
        <v>530</v>
      </c>
      <c r="C112" s="596"/>
      <c r="D112" s="31"/>
      <c r="E112" s="31"/>
      <c r="F112" s="31"/>
      <c r="G112" s="31"/>
      <c r="H112" s="402">
        <v>4185369.49</v>
      </c>
      <c r="I112" s="82">
        <v>3238159.21</v>
      </c>
      <c r="J112" s="82">
        <v>4310483.68</v>
      </c>
      <c r="K112" s="82">
        <v>3581030.06</v>
      </c>
      <c r="L112" s="82">
        <v>5725403.17</v>
      </c>
      <c r="M112" s="82"/>
      <c r="N112" s="82">
        <v>1789057.44</v>
      </c>
      <c r="O112" s="17"/>
    </row>
    <row r="113" spans="2:15" ht="18.75" hidden="1">
      <c r="B113" s="596"/>
      <c r="C113" s="596"/>
      <c r="D113" s="31"/>
      <c r="E113" s="31"/>
      <c r="F113" s="31"/>
      <c r="G113" s="31"/>
      <c r="H113" s="402"/>
      <c r="I113" s="82"/>
      <c r="J113" s="82"/>
      <c r="K113" s="82"/>
      <c r="L113" s="82"/>
      <c r="M113" s="82"/>
      <c r="N113" s="82"/>
      <c r="O113" s="17"/>
    </row>
    <row r="114" spans="2:15" ht="18.75" hidden="1">
      <c r="B114" s="596"/>
      <c r="C114" s="596"/>
      <c r="D114" s="31"/>
      <c r="E114" s="31"/>
      <c r="F114" s="31"/>
      <c r="G114" s="31"/>
      <c r="H114" s="402"/>
      <c r="I114" s="82"/>
      <c r="J114" s="82"/>
      <c r="K114" s="82"/>
      <c r="L114" s="82"/>
      <c r="M114" s="82"/>
      <c r="N114" s="82"/>
      <c r="O114" s="17"/>
    </row>
    <row r="115" spans="2:15" ht="18.75" hidden="1">
      <c r="B115" s="596"/>
      <c r="C115" s="596"/>
      <c r="D115" s="31"/>
      <c r="E115" s="31"/>
      <c r="F115" s="31"/>
      <c r="G115" s="31"/>
      <c r="H115" s="402"/>
      <c r="I115" s="82"/>
      <c r="J115" s="82"/>
      <c r="K115" s="82"/>
      <c r="L115" s="82"/>
      <c r="M115" s="82"/>
      <c r="N115" s="82"/>
      <c r="O115" s="17"/>
    </row>
    <row r="116" spans="2:15" ht="18.75" hidden="1">
      <c r="B116" s="596"/>
      <c r="C116" s="596"/>
      <c r="D116" s="31"/>
      <c r="E116" s="31"/>
      <c r="F116" s="31"/>
      <c r="G116" s="31"/>
      <c r="H116" s="402"/>
      <c r="I116" s="82"/>
      <c r="J116" s="82"/>
      <c r="K116" s="82"/>
      <c r="L116" s="82"/>
      <c r="M116" s="82"/>
      <c r="N116" s="82"/>
      <c r="O116" s="17"/>
    </row>
    <row r="117" spans="2:15" ht="18.75" hidden="1">
      <c r="B117" s="596"/>
      <c r="C117" s="596"/>
      <c r="D117" s="31"/>
      <c r="E117" s="31"/>
      <c r="F117" s="31"/>
      <c r="G117" s="31"/>
      <c r="H117" s="402"/>
      <c r="I117" s="82"/>
      <c r="J117" s="82"/>
      <c r="K117" s="82"/>
      <c r="L117" s="82"/>
      <c r="M117" s="82"/>
      <c r="N117" s="82"/>
      <c r="O117" s="17"/>
    </row>
    <row r="118" spans="2:15" ht="18.75" hidden="1">
      <c r="B118" s="596"/>
      <c r="C118" s="596"/>
      <c r="D118" s="31"/>
      <c r="E118" s="31"/>
      <c r="F118" s="31"/>
      <c r="G118" s="31"/>
      <c r="H118" s="402"/>
      <c r="I118" s="82"/>
      <c r="J118" s="82"/>
      <c r="K118" s="82"/>
      <c r="L118" s="82"/>
      <c r="M118" s="82"/>
      <c r="N118" s="82"/>
      <c r="O118" s="17"/>
    </row>
    <row r="119" spans="2:15" ht="18.75" hidden="1">
      <c r="B119" s="596"/>
      <c r="C119" s="596"/>
      <c r="D119" s="31"/>
      <c r="E119" s="31"/>
      <c r="F119" s="31"/>
      <c r="G119" s="31"/>
      <c r="H119" s="402"/>
      <c r="I119" s="82"/>
      <c r="J119" s="82"/>
      <c r="K119" s="82"/>
      <c r="L119" s="82"/>
      <c r="M119" s="82"/>
      <c r="N119" s="82"/>
      <c r="O119" s="17"/>
    </row>
    <row r="120" spans="2:15" ht="18.75">
      <c r="B120" s="596" t="s">
        <v>531</v>
      </c>
      <c r="C120" s="596"/>
      <c r="D120" s="31"/>
      <c r="E120" s="31"/>
      <c r="F120" s="31"/>
      <c r="G120" s="31"/>
      <c r="H120" s="93">
        <v>247500</v>
      </c>
      <c r="I120" s="93">
        <v>6159.6</v>
      </c>
      <c r="J120" s="82">
        <v>211450</v>
      </c>
      <c r="K120" s="82">
        <v>932299.3</v>
      </c>
      <c r="L120" s="82">
        <v>541015.61</v>
      </c>
      <c r="M120" s="82">
        <v>764830.6</v>
      </c>
      <c r="N120" s="82">
        <v>1091485.91</v>
      </c>
      <c r="O120" s="17">
        <v>662223.74</v>
      </c>
    </row>
    <row r="121" spans="2:15" ht="18.75" hidden="1">
      <c r="B121" s="596" t="s">
        <v>347</v>
      </c>
      <c r="C121" s="596"/>
      <c r="D121" s="31"/>
      <c r="E121" s="31"/>
      <c r="F121" s="31"/>
      <c r="G121" s="31"/>
      <c r="H121" s="402"/>
      <c r="I121" s="82"/>
      <c r="J121" s="82"/>
      <c r="K121" s="82"/>
      <c r="L121" s="82"/>
      <c r="M121" s="82"/>
      <c r="N121" s="82"/>
      <c r="O121" s="17"/>
    </row>
    <row r="122" spans="2:15" ht="18.75" hidden="1">
      <c r="B122" s="596" t="s">
        <v>348</v>
      </c>
      <c r="C122" s="596"/>
      <c r="D122" s="31"/>
      <c r="E122" s="31"/>
      <c r="F122" s="31"/>
      <c r="G122" s="31"/>
      <c r="H122" s="402"/>
      <c r="I122" s="82"/>
      <c r="J122" s="82"/>
      <c r="K122" s="82"/>
      <c r="L122" s="82"/>
      <c r="M122" s="82"/>
      <c r="N122" s="82"/>
      <c r="O122" s="17"/>
    </row>
    <row r="123" spans="2:15" ht="18.75" hidden="1">
      <c r="B123" s="596" t="s">
        <v>349</v>
      </c>
      <c r="C123" s="596"/>
      <c r="D123" s="31"/>
      <c r="E123" s="31"/>
      <c r="F123" s="31"/>
      <c r="G123" s="31"/>
      <c r="H123" s="402"/>
      <c r="I123" s="82"/>
      <c r="J123" s="82"/>
      <c r="K123" s="82"/>
      <c r="L123" s="82"/>
      <c r="M123" s="82"/>
      <c r="N123" s="82"/>
      <c r="O123" s="17"/>
    </row>
    <row r="124" spans="2:15" ht="18.75" hidden="1">
      <c r="B124" s="596" t="s">
        <v>350</v>
      </c>
      <c r="C124" s="596"/>
      <c r="D124" s="31"/>
      <c r="E124" s="31"/>
      <c r="F124" s="31"/>
      <c r="G124" s="31"/>
      <c r="H124" s="402"/>
      <c r="I124" s="82"/>
      <c r="J124" s="82"/>
      <c r="K124" s="82"/>
      <c r="L124" s="82"/>
      <c r="M124" s="82"/>
      <c r="N124" s="82"/>
      <c r="O124" s="17"/>
    </row>
    <row r="125" spans="2:15" ht="18.75" hidden="1">
      <c r="B125" s="596" t="s">
        <v>351</v>
      </c>
      <c r="C125" s="596"/>
      <c r="D125" s="31"/>
      <c r="E125" s="31"/>
      <c r="F125" s="31"/>
      <c r="G125" s="31"/>
      <c r="H125" s="402"/>
      <c r="I125" s="82"/>
      <c r="J125" s="82"/>
      <c r="K125" s="82"/>
      <c r="L125" s="82"/>
      <c r="M125" s="82"/>
      <c r="N125" s="82"/>
      <c r="O125" s="17"/>
    </row>
    <row r="126" spans="2:15" ht="18.75" hidden="1">
      <c r="B126" s="596" t="s">
        <v>352</v>
      </c>
      <c r="C126" s="596"/>
      <c r="D126" s="31"/>
      <c r="E126" s="31"/>
      <c r="F126" s="31"/>
      <c r="G126" s="31"/>
      <c r="H126" s="402"/>
      <c r="I126" s="82"/>
      <c r="J126" s="82"/>
      <c r="K126" s="82"/>
      <c r="L126" s="82"/>
      <c r="M126" s="82"/>
      <c r="N126" s="82"/>
      <c r="O126" s="17"/>
    </row>
    <row r="127" spans="2:15" ht="18.75" hidden="1">
      <c r="B127" s="596" t="s">
        <v>353</v>
      </c>
      <c r="C127" s="596"/>
      <c r="D127" s="31"/>
      <c r="E127" s="31"/>
      <c r="F127" s="31"/>
      <c r="G127" s="31"/>
      <c r="H127" s="402"/>
      <c r="I127" s="82"/>
      <c r="J127" s="82"/>
      <c r="K127" s="82"/>
      <c r="L127" s="82"/>
      <c r="M127" s="82">
        <v>9049.51</v>
      </c>
      <c r="N127" s="82"/>
      <c r="O127" s="17">
        <v>1336.18</v>
      </c>
    </row>
    <row r="128" spans="2:15" ht="18.75" hidden="1">
      <c r="B128" s="596" t="s">
        <v>354</v>
      </c>
      <c r="C128" s="596"/>
      <c r="D128" s="31"/>
      <c r="E128" s="31"/>
      <c r="F128" s="31"/>
      <c r="G128" s="31"/>
      <c r="H128" s="402"/>
      <c r="I128" s="82"/>
      <c r="J128" s="82"/>
      <c r="K128" s="82"/>
      <c r="L128" s="82"/>
      <c r="M128" s="82"/>
      <c r="N128" s="82"/>
      <c r="O128" s="17"/>
    </row>
    <row r="129" spans="2:15" ht="18.75" hidden="1">
      <c r="B129" s="596" t="s">
        <v>355</v>
      </c>
      <c r="C129" s="596"/>
      <c r="D129" s="31"/>
      <c r="E129" s="31"/>
      <c r="F129" s="31"/>
      <c r="G129" s="31"/>
      <c r="H129" s="402"/>
      <c r="I129" s="82"/>
      <c r="J129" s="82"/>
      <c r="K129" s="82">
        <f>2540.01+235.2</f>
        <v>2775.21</v>
      </c>
      <c r="L129" s="82"/>
      <c r="M129" s="82"/>
      <c r="N129" s="82"/>
      <c r="O129" s="17"/>
    </row>
    <row r="130" spans="2:15" ht="18.75" hidden="1">
      <c r="B130" s="596" t="s">
        <v>355</v>
      </c>
      <c r="C130" s="596"/>
      <c r="D130" s="31"/>
      <c r="E130" s="31"/>
      <c r="F130" s="31"/>
      <c r="G130" s="31"/>
      <c r="H130" s="402"/>
      <c r="I130" s="82"/>
      <c r="J130" s="82"/>
      <c r="K130" s="82"/>
      <c r="L130" s="82"/>
      <c r="M130" s="82"/>
      <c r="N130" s="82"/>
      <c r="O130" s="17"/>
    </row>
    <row r="131" spans="2:51" s="514" customFormat="1" ht="18.75">
      <c r="B131" s="594" t="s">
        <v>359</v>
      </c>
      <c r="C131" s="594"/>
      <c r="D131" s="400"/>
      <c r="E131" s="400"/>
      <c r="F131" s="400"/>
      <c r="G131" s="400"/>
      <c r="H131" s="513">
        <v>322848.14</v>
      </c>
      <c r="I131" s="513">
        <v>244917.5</v>
      </c>
      <c r="J131" s="519"/>
      <c r="K131" s="519"/>
      <c r="L131" s="519"/>
      <c r="M131" s="519"/>
      <c r="N131" s="519"/>
      <c r="O131" s="516"/>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515"/>
      <c r="AV131" s="515"/>
      <c r="AW131" s="515"/>
      <c r="AX131" s="515"/>
      <c r="AY131" s="515"/>
    </row>
    <row r="132" spans="2:51" s="514" customFormat="1" ht="18.75">
      <c r="B132" s="594" t="s">
        <v>608</v>
      </c>
      <c r="C132" s="594"/>
      <c r="D132" s="400"/>
      <c r="E132" s="400"/>
      <c r="F132" s="400"/>
      <c r="G132" s="400"/>
      <c r="H132" s="513">
        <v>1919907.33</v>
      </c>
      <c r="I132" s="513">
        <v>1131134.51</v>
      </c>
      <c r="J132" s="519"/>
      <c r="K132" s="519"/>
      <c r="L132" s="519"/>
      <c r="M132" s="519"/>
      <c r="N132" s="519"/>
      <c r="O132" s="516"/>
      <c r="Q132" s="173"/>
      <c r="R132" s="173"/>
      <c r="S132" s="173"/>
      <c r="T132" s="173"/>
      <c r="U132" s="173"/>
      <c r="V132" s="173"/>
      <c r="W132" s="173"/>
      <c r="X132" s="173"/>
      <c r="Y132" s="173"/>
      <c r="Z132" s="173"/>
      <c r="AA132" s="173"/>
      <c r="AB132" s="173"/>
      <c r="AC132" s="173"/>
      <c r="AD132" s="173"/>
      <c r="AE132" s="173"/>
      <c r="AF132" s="173"/>
      <c r="AG132" s="173"/>
      <c r="AH132" s="173"/>
      <c r="AI132" s="173"/>
      <c r="AJ132" s="173"/>
      <c r="AK132" s="173"/>
      <c r="AL132" s="173"/>
      <c r="AM132" s="173"/>
      <c r="AN132" s="173"/>
      <c r="AO132" s="173"/>
      <c r="AP132" s="173"/>
      <c r="AQ132" s="173"/>
      <c r="AR132" s="173"/>
      <c r="AS132" s="173"/>
      <c r="AT132" s="173"/>
      <c r="AU132" s="515"/>
      <c r="AV132" s="515"/>
      <c r="AW132" s="515"/>
      <c r="AX132" s="515"/>
      <c r="AY132" s="515"/>
    </row>
    <row r="133" spans="2:51" s="514" customFormat="1" ht="18.75">
      <c r="B133" s="596"/>
      <c r="C133" s="596"/>
      <c r="D133" s="31"/>
      <c r="E133" s="31"/>
      <c r="F133" s="31"/>
      <c r="G133" s="31"/>
      <c r="H133" s="519"/>
      <c r="I133" s="519"/>
      <c r="J133" s="519"/>
      <c r="K133" s="519"/>
      <c r="L133" s="519"/>
      <c r="M133" s="519"/>
      <c r="N133" s="519"/>
      <c r="O133" s="516"/>
      <c r="Q133" s="173"/>
      <c r="R133" s="173"/>
      <c r="S133" s="173"/>
      <c r="T133" s="173"/>
      <c r="U133" s="173"/>
      <c r="V133" s="173"/>
      <c r="W133" s="173"/>
      <c r="X133" s="173"/>
      <c r="Y133" s="173"/>
      <c r="Z133" s="173"/>
      <c r="AA133" s="173"/>
      <c r="AB133" s="173"/>
      <c r="AC133" s="173"/>
      <c r="AD133" s="173"/>
      <c r="AE133" s="173"/>
      <c r="AF133" s="173"/>
      <c r="AG133" s="173"/>
      <c r="AH133" s="173"/>
      <c r="AI133" s="173"/>
      <c r="AJ133" s="173"/>
      <c r="AK133" s="173"/>
      <c r="AL133" s="173"/>
      <c r="AM133" s="173"/>
      <c r="AN133" s="173"/>
      <c r="AO133" s="173"/>
      <c r="AP133" s="173"/>
      <c r="AQ133" s="173"/>
      <c r="AR133" s="173"/>
      <c r="AS133" s="173"/>
      <c r="AT133" s="173"/>
      <c r="AU133" s="515"/>
      <c r="AV133" s="515"/>
      <c r="AW133" s="515"/>
      <c r="AX133" s="515"/>
      <c r="AY133" s="515"/>
    </row>
    <row r="134" spans="2:51" s="514" customFormat="1" ht="19.5" thickBot="1">
      <c r="B134" s="509" t="s">
        <v>304</v>
      </c>
      <c r="C134" s="594"/>
      <c r="D134" s="400"/>
      <c r="E134" s="400"/>
      <c r="F134" s="400"/>
      <c r="G134" s="400"/>
      <c r="H134" s="512">
        <f>SUM(H62:H132)</f>
        <v>55577947.61000001</v>
      </c>
      <c r="I134" s="512">
        <f>SUM(I62:I133)</f>
        <v>54309817.58</v>
      </c>
      <c r="J134" s="519"/>
      <c r="K134" s="519"/>
      <c r="L134" s="519"/>
      <c r="M134" s="519"/>
      <c r="N134" s="519"/>
      <c r="O134" s="516"/>
      <c r="Q134" s="173"/>
      <c r="R134" s="173"/>
      <c r="S134" s="173"/>
      <c r="T134" s="173"/>
      <c r="U134" s="173"/>
      <c r="V134" s="173"/>
      <c r="W134" s="173"/>
      <c r="X134" s="173"/>
      <c r="Y134" s="173"/>
      <c r="Z134" s="173"/>
      <c r="AA134" s="173"/>
      <c r="AB134" s="173"/>
      <c r="AC134" s="173"/>
      <c r="AD134" s="173"/>
      <c r="AE134" s="173"/>
      <c r="AF134" s="173"/>
      <c r="AG134" s="173"/>
      <c r="AH134" s="173"/>
      <c r="AI134" s="173"/>
      <c r="AJ134" s="173"/>
      <c r="AK134" s="173"/>
      <c r="AL134" s="173"/>
      <c r="AM134" s="173"/>
      <c r="AN134" s="173"/>
      <c r="AO134" s="173"/>
      <c r="AP134" s="173"/>
      <c r="AQ134" s="173"/>
      <c r="AR134" s="173"/>
      <c r="AS134" s="173"/>
      <c r="AT134" s="173"/>
      <c r="AU134" s="515"/>
      <c r="AV134" s="515"/>
      <c r="AW134" s="515"/>
      <c r="AX134" s="515"/>
      <c r="AY134" s="515"/>
    </row>
    <row r="135" spans="2:51" s="514" customFormat="1" ht="19.5" thickTop="1">
      <c r="B135" s="509"/>
      <c r="C135" s="594"/>
      <c r="D135" s="400"/>
      <c r="E135" s="400"/>
      <c r="F135" s="400"/>
      <c r="G135" s="400"/>
      <c r="H135" s="574"/>
      <c r="I135" s="574"/>
      <c r="J135" s="519"/>
      <c r="K135" s="519"/>
      <c r="L135" s="519"/>
      <c r="M135" s="519"/>
      <c r="N135" s="519"/>
      <c r="O135" s="516"/>
      <c r="Q135" s="173"/>
      <c r="R135" s="173"/>
      <c r="S135" s="173"/>
      <c r="T135" s="173"/>
      <c r="U135" s="173"/>
      <c r="V135" s="173"/>
      <c r="W135" s="173"/>
      <c r="X135" s="173"/>
      <c r="Y135" s="173"/>
      <c r="Z135" s="173"/>
      <c r="AA135" s="173"/>
      <c r="AB135" s="173"/>
      <c r="AC135" s="173"/>
      <c r="AD135" s="173"/>
      <c r="AE135" s="173"/>
      <c r="AF135" s="173"/>
      <c r="AG135" s="173"/>
      <c r="AH135" s="173"/>
      <c r="AI135" s="173"/>
      <c r="AJ135" s="173"/>
      <c r="AK135" s="173"/>
      <c r="AL135" s="173"/>
      <c r="AM135" s="173"/>
      <c r="AN135" s="173"/>
      <c r="AO135" s="173"/>
      <c r="AP135" s="173"/>
      <c r="AQ135" s="173"/>
      <c r="AR135" s="173"/>
      <c r="AS135" s="173"/>
      <c r="AT135" s="173"/>
      <c r="AU135" s="515"/>
      <c r="AV135" s="515"/>
      <c r="AW135" s="515"/>
      <c r="AX135" s="515"/>
      <c r="AY135" s="515"/>
    </row>
    <row r="136" spans="2:51" s="514" customFormat="1" ht="18.75">
      <c r="B136" s="601" t="s">
        <v>1110</v>
      </c>
      <c r="C136" s="594"/>
      <c r="D136" s="400"/>
      <c r="E136" s="400"/>
      <c r="F136" s="400"/>
      <c r="G136" s="400"/>
      <c r="H136" s="574"/>
      <c r="I136" s="574"/>
      <c r="J136" s="519"/>
      <c r="K136" s="519"/>
      <c r="L136" s="519"/>
      <c r="M136" s="519"/>
      <c r="N136" s="519"/>
      <c r="O136" s="516"/>
      <c r="Q136" s="173"/>
      <c r="R136" s="173"/>
      <c r="S136" s="173"/>
      <c r="T136" s="173"/>
      <c r="U136" s="173"/>
      <c r="V136" s="173"/>
      <c r="W136" s="173"/>
      <c r="X136" s="173"/>
      <c r="Y136" s="173"/>
      <c r="Z136" s="173"/>
      <c r="AA136" s="173"/>
      <c r="AB136" s="173"/>
      <c r="AC136" s="173"/>
      <c r="AD136" s="173"/>
      <c r="AE136" s="173"/>
      <c r="AF136" s="173"/>
      <c r="AG136" s="173"/>
      <c r="AH136" s="173"/>
      <c r="AI136" s="173"/>
      <c r="AJ136" s="173"/>
      <c r="AK136" s="173"/>
      <c r="AL136" s="173"/>
      <c r="AM136" s="173"/>
      <c r="AN136" s="173"/>
      <c r="AO136" s="173"/>
      <c r="AP136" s="173"/>
      <c r="AQ136" s="173"/>
      <c r="AR136" s="173"/>
      <c r="AS136" s="173"/>
      <c r="AT136" s="173"/>
      <c r="AU136" s="515"/>
      <c r="AV136" s="515"/>
      <c r="AW136" s="515"/>
      <c r="AX136" s="515"/>
      <c r="AY136" s="515"/>
    </row>
    <row r="137" spans="2:51" s="514" customFormat="1" ht="18.75">
      <c r="B137" s="601" t="s">
        <v>1111</v>
      </c>
      <c r="C137" s="594"/>
      <c r="D137" s="400"/>
      <c r="E137" s="400"/>
      <c r="F137" s="400"/>
      <c r="G137" s="400"/>
      <c r="H137" s="574"/>
      <c r="I137" s="574"/>
      <c r="J137" s="519"/>
      <c r="K137" s="519"/>
      <c r="L137" s="519"/>
      <c r="M137" s="519"/>
      <c r="N137" s="519"/>
      <c r="O137" s="516"/>
      <c r="Q137" s="173"/>
      <c r="R137" s="173"/>
      <c r="S137" s="173"/>
      <c r="T137" s="173"/>
      <c r="U137" s="173"/>
      <c r="V137" s="173"/>
      <c r="W137" s="173"/>
      <c r="X137" s="173"/>
      <c r="Y137" s="173"/>
      <c r="Z137" s="173"/>
      <c r="AA137" s="173"/>
      <c r="AB137" s="173"/>
      <c r="AC137" s="173"/>
      <c r="AD137" s="173"/>
      <c r="AE137" s="173"/>
      <c r="AF137" s="173"/>
      <c r="AG137" s="173"/>
      <c r="AH137" s="173"/>
      <c r="AI137" s="173"/>
      <c r="AJ137" s="173"/>
      <c r="AK137" s="173"/>
      <c r="AL137" s="173"/>
      <c r="AM137" s="173"/>
      <c r="AN137" s="173"/>
      <c r="AO137" s="173"/>
      <c r="AP137" s="173"/>
      <c r="AQ137" s="173"/>
      <c r="AR137" s="173"/>
      <c r="AS137" s="173"/>
      <c r="AT137" s="173"/>
      <c r="AU137" s="515"/>
      <c r="AV137" s="515"/>
      <c r="AW137" s="515"/>
      <c r="AX137" s="515"/>
      <c r="AY137" s="515"/>
    </row>
    <row r="138" spans="2:51" s="514" customFormat="1" ht="18.75">
      <c r="B138" s="601" t="s">
        <v>1112</v>
      </c>
      <c r="C138" s="594"/>
      <c r="D138" s="400"/>
      <c r="E138" s="400"/>
      <c r="F138" s="400"/>
      <c r="G138" s="400"/>
      <c r="H138" s="574"/>
      <c r="I138" s="574"/>
      <c r="J138" s="519"/>
      <c r="K138" s="519"/>
      <c r="L138" s="519"/>
      <c r="M138" s="519"/>
      <c r="N138" s="519"/>
      <c r="O138" s="516"/>
      <c r="Q138" s="173"/>
      <c r="R138" s="173"/>
      <c r="S138" s="173"/>
      <c r="T138" s="173"/>
      <c r="U138" s="173"/>
      <c r="V138" s="173"/>
      <c r="W138" s="173"/>
      <c r="X138" s="173"/>
      <c r="Y138" s="173"/>
      <c r="Z138" s="173"/>
      <c r="AA138" s="173"/>
      <c r="AB138" s="173"/>
      <c r="AC138" s="173"/>
      <c r="AD138" s="173"/>
      <c r="AE138" s="173"/>
      <c r="AF138" s="173"/>
      <c r="AG138" s="173"/>
      <c r="AH138" s="173"/>
      <c r="AI138" s="173"/>
      <c r="AJ138" s="173"/>
      <c r="AK138" s="173"/>
      <c r="AL138" s="173"/>
      <c r="AM138" s="173"/>
      <c r="AN138" s="173"/>
      <c r="AO138" s="173"/>
      <c r="AP138" s="173"/>
      <c r="AQ138" s="173"/>
      <c r="AR138" s="173"/>
      <c r="AS138" s="173"/>
      <c r="AT138" s="173"/>
      <c r="AU138" s="515"/>
      <c r="AV138" s="515"/>
      <c r="AW138" s="515"/>
      <c r="AX138" s="515"/>
      <c r="AY138" s="515"/>
    </row>
    <row r="139" spans="2:51" s="514" customFormat="1" ht="18.75">
      <c r="B139" s="601" t="s">
        <v>1115</v>
      </c>
      <c r="C139" s="594"/>
      <c r="D139" s="400"/>
      <c r="E139" s="400"/>
      <c r="F139" s="400"/>
      <c r="G139" s="400"/>
      <c r="H139" s="574"/>
      <c r="I139" s="574"/>
      <c r="J139" s="519"/>
      <c r="K139" s="519"/>
      <c r="L139" s="519"/>
      <c r="M139" s="519"/>
      <c r="N139" s="519"/>
      <c r="O139" s="516"/>
      <c r="Q139" s="173"/>
      <c r="R139" s="173"/>
      <c r="S139" s="173"/>
      <c r="T139" s="173"/>
      <c r="U139" s="173"/>
      <c r="V139" s="173"/>
      <c r="W139" s="173"/>
      <c r="X139" s="173"/>
      <c r="Y139" s="173"/>
      <c r="Z139" s="173"/>
      <c r="AA139" s="173"/>
      <c r="AB139" s="173"/>
      <c r="AC139" s="173"/>
      <c r="AD139" s="173"/>
      <c r="AE139" s="173"/>
      <c r="AF139" s="173"/>
      <c r="AG139" s="173"/>
      <c r="AH139" s="173"/>
      <c r="AI139" s="173"/>
      <c r="AJ139" s="173"/>
      <c r="AK139" s="173"/>
      <c r="AL139" s="173"/>
      <c r="AM139" s="173"/>
      <c r="AN139" s="173"/>
      <c r="AO139" s="173"/>
      <c r="AP139" s="173"/>
      <c r="AQ139" s="173"/>
      <c r="AR139" s="173"/>
      <c r="AS139" s="173"/>
      <c r="AT139" s="173"/>
      <c r="AU139" s="515"/>
      <c r="AV139" s="515"/>
      <c r="AW139" s="515"/>
      <c r="AX139" s="515"/>
      <c r="AY139" s="515"/>
    </row>
    <row r="140" spans="2:51" s="514" customFormat="1" ht="18.75">
      <c r="B140" s="601" t="s">
        <v>1113</v>
      </c>
      <c r="C140" s="594"/>
      <c r="D140" s="400"/>
      <c r="E140" s="400"/>
      <c r="F140" s="400"/>
      <c r="G140" s="400"/>
      <c r="H140" s="574"/>
      <c r="I140" s="574"/>
      <c r="J140" s="519"/>
      <c r="K140" s="519"/>
      <c r="L140" s="519"/>
      <c r="M140" s="519"/>
      <c r="N140" s="519"/>
      <c r="O140" s="516"/>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173"/>
      <c r="AM140" s="173"/>
      <c r="AN140" s="173"/>
      <c r="AO140" s="173"/>
      <c r="AP140" s="173"/>
      <c r="AQ140" s="173"/>
      <c r="AR140" s="173"/>
      <c r="AS140" s="173"/>
      <c r="AT140" s="173"/>
      <c r="AU140" s="515"/>
      <c r="AV140" s="515"/>
      <c r="AW140" s="515"/>
      <c r="AX140" s="515"/>
      <c r="AY140" s="515"/>
    </row>
    <row r="141" spans="2:51" s="514" customFormat="1" ht="18.75">
      <c r="B141" s="601" t="s">
        <v>1114</v>
      </c>
      <c r="C141" s="594"/>
      <c r="D141" s="400"/>
      <c r="E141" s="400"/>
      <c r="F141" s="400"/>
      <c r="G141" s="400"/>
      <c r="H141" s="574"/>
      <c r="I141" s="574"/>
      <c r="J141" s="519"/>
      <c r="K141" s="519"/>
      <c r="L141" s="519"/>
      <c r="M141" s="519"/>
      <c r="N141" s="519"/>
      <c r="O141" s="516"/>
      <c r="Q141" s="173"/>
      <c r="R141" s="173"/>
      <c r="S141" s="173"/>
      <c r="T141" s="173"/>
      <c r="U141" s="173"/>
      <c r="V141" s="173"/>
      <c r="W141" s="173"/>
      <c r="X141" s="173"/>
      <c r="Y141" s="173"/>
      <c r="Z141" s="173"/>
      <c r="AA141" s="173"/>
      <c r="AB141" s="173"/>
      <c r="AC141" s="173"/>
      <c r="AD141" s="173"/>
      <c r="AE141" s="173"/>
      <c r="AF141" s="173"/>
      <c r="AG141" s="173"/>
      <c r="AH141" s="173"/>
      <c r="AI141" s="173"/>
      <c r="AJ141" s="173"/>
      <c r="AK141" s="173"/>
      <c r="AL141" s="173"/>
      <c r="AM141" s="173"/>
      <c r="AN141" s="173"/>
      <c r="AO141" s="173"/>
      <c r="AP141" s="173"/>
      <c r="AQ141" s="173"/>
      <c r="AR141" s="173"/>
      <c r="AS141" s="173"/>
      <c r="AT141" s="173"/>
      <c r="AU141" s="515"/>
      <c r="AV141" s="515"/>
      <c r="AW141" s="515"/>
      <c r="AX141" s="515"/>
      <c r="AY141" s="515"/>
    </row>
    <row r="142" spans="2:51" s="514" customFormat="1" ht="18.75">
      <c r="B142" s="601" t="s">
        <v>1116</v>
      </c>
      <c r="C142" s="594"/>
      <c r="D142" s="400"/>
      <c r="E142" s="400"/>
      <c r="F142" s="400"/>
      <c r="G142" s="400"/>
      <c r="H142" s="574"/>
      <c r="I142" s="574"/>
      <c r="J142" s="519"/>
      <c r="K142" s="519"/>
      <c r="L142" s="519"/>
      <c r="M142" s="519"/>
      <c r="N142" s="519"/>
      <c r="O142" s="516"/>
      <c r="Q142" s="173"/>
      <c r="R142" s="173"/>
      <c r="S142" s="173"/>
      <c r="T142" s="173"/>
      <c r="U142" s="173"/>
      <c r="V142" s="173"/>
      <c r="W142" s="173"/>
      <c r="X142" s="173"/>
      <c r="Y142" s="173"/>
      <c r="Z142" s="173"/>
      <c r="AA142" s="173"/>
      <c r="AB142" s="173"/>
      <c r="AC142" s="173"/>
      <c r="AD142" s="173"/>
      <c r="AE142" s="173"/>
      <c r="AF142" s="173"/>
      <c r="AG142" s="173"/>
      <c r="AH142" s="173"/>
      <c r="AI142" s="173"/>
      <c r="AJ142" s="173"/>
      <c r="AK142" s="173"/>
      <c r="AL142" s="173"/>
      <c r="AM142" s="173"/>
      <c r="AN142" s="173"/>
      <c r="AO142" s="173"/>
      <c r="AP142" s="173"/>
      <c r="AQ142" s="173"/>
      <c r="AR142" s="173"/>
      <c r="AS142" s="173"/>
      <c r="AT142" s="173"/>
      <c r="AU142" s="515"/>
      <c r="AV142" s="515"/>
      <c r="AW142" s="515"/>
      <c r="AX142" s="515"/>
      <c r="AY142" s="515"/>
    </row>
    <row r="143" spans="2:51" s="514" customFormat="1" ht="18.75">
      <c r="B143" s="596"/>
      <c r="C143" s="596"/>
      <c r="D143" s="31"/>
      <c r="E143" s="31"/>
      <c r="F143" s="31"/>
      <c r="G143" s="31"/>
      <c r="H143" s="519"/>
      <c r="I143" s="519"/>
      <c r="J143" s="519"/>
      <c r="K143" s="519"/>
      <c r="L143" s="519"/>
      <c r="M143" s="519"/>
      <c r="N143" s="519"/>
      <c r="O143" s="516"/>
      <c r="Q143" s="173"/>
      <c r="R143" s="173"/>
      <c r="S143" s="173"/>
      <c r="T143" s="173"/>
      <c r="U143" s="173"/>
      <c r="V143" s="173"/>
      <c r="W143" s="173"/>
      <c r="X143" s="173"/>
      <c r="Y143" s="173"/>
      <c r="Z143" s="173"/>
      <c r="AA143" s="173"/>
      <c r="AB143" s="173"/>
      <c r="AC143" s="173"/>
      <c r="AD143" s="173"/>
      <c r="AE143" s="173"/>
      <c r="AF143" s="173"/>
      <c r="AG143" s="173"/>
      <c r="AH143" s="173"/>
      <c r="AI143" s="173"/>
      <c r="AJ143" s="173"/>
      <c r="AK143" s="173"/>
      <c r="AL143" s="173"/>
      <c r="AM143" s="173"/>
      <c r="AN143" s="173"/>
      <c r="AO143" s="173"/>
      <c r="AP143" s="173"/>
      <c r="AQ143" s="173"/>
      <c r="AR143" s="173"/>
      <c r="AS143" s="173"/>
      <c r="AT143" s="173"/>
      <c r="AU143" s="515"/>
      <c r="AV143" s="515"/>
      <c r="AW143" s="515"/>
      <c r="AX143" s="515"/>
      <c r="AY143" s="515"/>
    </row>
    <row r="144" spans="2:51" s="514" customFormat="1" ht="18.75">
      <c r="B144" s="596"/>
      <c r="C144" s="596"/>
      <c r="D144" s="31"/>
      <c r="E144" s="31"/>
      <c r="F144" s="31"/>
      <c r="G144" s="31"/>
      <c r="H144" s="519"/>
      <c r="I144" s="519"/>
      <c r="J144" s="519"/>
      <c r="K144" s="519"/>
      <c r="L144" s="519"/>
      <c r="M144" s="519"/>
      <c r="N144" s="519"/>
      <c r="O144" s="516"/>
      <c r="Q144" s="173"/>
      <c r="R144" s="173"/>
      <c r="S144" s="173"/>
      <c r="T144" s="173"/>
      <c r="U144" s="173"/>
      <c r="V144" s="173"/>
      <c r="W144" s="173"/>
      <c r="X144" s="173"/>
      <c r="Y144" s="173"/>
      <c r="Z144" s="173"/>
      <c r="AA144" s="173"/>
      <c r="AB144" s="173"/>
      <c r="AC144" s="173"/>
      <c r="AD144" s="173"/>
      <c r="AE144" s="173"/>
      <c r="AF144" s="173"/>
      <c r="AG144" s="173"/>
      <c r="AH144" s="173"/>
      <c r="AI144" s="173"/>
      <c r="AJ144" s="173"/>
      <c r="AK144" s="173"/>
      <c r="AL144" s="173"/>
      <c r="AM144" s="173"/>
      <c r="AN144" s="173"/>
      <c r="AO144" s="173"/>
      <c r="AP144" s="173"/>
      <c r="AQ144" s="173"/>
      <c r="AR144" s="173"/>
      <c r="AS144" s="173"/>
      <c r="AT144" s="173"/>
      <c r="AU144" s="515"/>
      <c r="AV144" s="515"/>
      <c r="AW144" s="515"/>
      <c r="AX144" s="515"/>
      <c r="AY144" s="515"/>
    </row>
    <row r="145" spans="2:51" s="514" customFormat="1" ht="20.25">
      <c r="B145" s="599" t="s">
        <v>601</v>
      </c>
      <c r="C145" s="596"/>
      <c r="D145" s="31"/>
      <c r="E145" s="31"/>
      <c r="F145" s="31"/>
      <c r="G145" s="31"/>
      <c r="H145" s="519"/>
      <c r="I145" s="519"/>
      <c r="J145" s="519"/>
      <c r="K145" s="519"/>
      <c r="L145" s="519"/>
      <c r="M145" s="519"/>
      <c r="N145" s="519"/>
      <c r="O145" s="516"/>
      <c r="Q145" s="173"/>
      <c r="R145" s="591"/>
      <c r="S145" s="173"/>
      <c r="T145" s="173"/>
      <c r="U145" s="173"/>
      <c r="V145" s="173"/>
      <c r="W145" s="173"/>
      <c r="X145" s="173"/>
      <c r="Y145" s="173"/>
      <c r="Z145" s="173"/>
      <c r="AA145" s="173"/>
      <c r="AB145" s="173"/>
      <c r="AC145" s="173"/>
      <c r="AD145" s="173"/>
      <c r="AE145" s="173"/>
      <c r="AF145" s="173"/>
      <c r="AG145" s="173"/>
      <c r="AH145" s="173"/>
      <c r="AI145" s="173"/>
      <c r="AJ145" s="173"/>
      <c r="AK145" s="173"/>
      <c r="AL145" s="173"/>
      <c r="AM145" s="173"/>
      <c r="AN145" s="173"/>
      <c r="AO145" s="173"/>
      <c r="AP145" s="173"/>
      <c r="AQ145" s="173"/>
      <c r="AR145" s="173"/>
      <c r="AS145" s="173"/>
      <c r="AT145" s="173"/>
      <c r="AU145" s="515"/>
      <c r="AV145" s="515"/>
      <c r="AW145" s="515"/>
      <c r="AX145" s="515"/>
      <c r="AY145" s="515"/>
    </row>
    <row r="146" spans="2:51" s="514" customFormat="1" ht="20.25">
      <c r="B146" s="599" t="s">
        <v>2</v>
      </c>
      <c r="C146" s="596"/>
      <c r="D146" s="31"/>
      <c r="E146" s="31"/>
      <c r="F146" s="31"/>
      <c r="G146" s="31"/>
      <c r="H146" s="519"/>
      <c r="I146" s="519"/>
      <c r="J146" s="519"/>
      <c r="K146" s="519"/>
      <c r="L146" s="519"/>
      <c r="M146" s="519"/>
      <c r="N146" s="519"/>
      <c r="O146" s="516"/>
      <c r="Q146" s="173"/>
      <c r="R146" s="173"/>
      <c r="S146" s="173"/>
      <c r="T146" s="173"/>
      <c r="U146" s="173"/>
      <c r="V146" s="173"/>
      <c r="W146" s="173"/>
      <c r="X146" s="173"/>
      <c r="Y146" s="173"/>
      <c r="Z146" s="173"/>
      <c r="AA146" s="173"/>
      <c r="AB146" s="173"/>
      <c r="AC146" s="173"/>
      <c r="AD146" s="173"/>
      <c r="AE146" s="173"/>
      <c r="AF146" s="173"/>
      <c r="AG146" s="173"/>
      <c r="AH146" s="173"/>
      <c r="AI146" s="173"/>
      <c r="AJ146" s="173"/>
      <c r="AK146" s="173"/>
      <c r="AL146" s="173"/>
      <c r="AM146" s="173"/>
      <c r="AN146" s="173"/>
      <c r="AO146" s="173"/>
      <c r="AP146" s="173"/>
      <c r="AQ146" s="173"/>
      <c r="AR146" s="173"/>
      <c r="AS146" s="173"/>
      <c r="AT146" s="173"/>
      <c r="AU146" s="515"/>
      <c r="AV146" s="515"/>
      <c r="AW146" s="515"/>
      <c r="AX146" s="515"/>
      <c r="AY146" s="515"/>
    </row>
    <row r="147" spans="2:15" ht="18.75">
      <c r="B147" s="596" t="s">
        <v>582</v>
      </c>
      <c r="C147" s="596"/>
      <c r="D147" s="31"/>
      <c r="E147" s="31"/>
      <c r="F147" s="31"/>
      <c r="G147" s="31"/>
      <c r="H147" s="402">
        <v>10358943.83</v>
      </c>
      <c r="I147" s="82">
        <v>9964609.94</v>
      </c>
      <c r="J147" s="82">
        <v>8082337.51</v>
      </c>
      <c r="K147" s="82">
        <v>6118514.95</v>
      </c>
      <c r="L147" s="82">
        <f>4355546.44+454.5</f>
        <v>4356000.94</v>
      </c>
      <c r="M147" s="82">
        <v>3624810.77</v>
      </c>
      <c r="N147" s="82">
        <v>2393263.55</v>
      </c>
      <c r="O147" s="17">
        <v>2660529.69</v>
      </c>
    </row>
    <row r="148" spans="2:15" ht="18.75">
      <c r="B148" s="596" t="s">
        <v>583</v>
      </c>
      <c r="C148" s="596"/>
      <c r="D148" s="31"/>
      <c r="E148" s="31"/>
      <c r="F148" s="31"/>
      <c r="G148" s="31"/>
      <c r="H148" s="402">
        <v>26592.4</v>
      </c>
      <c r="I148" s="82">
        <v>100466.91</v>
      </c>
      <c r="J148" s="82">
        <v>96720.99</v>
      </c>
      <c r="K148" s="82">
        <v>181877.69</v>
      </c>
      <c r="L148" s="82">
        <v>158892.5</v>
      </c>
      <c r="M148" s="82">
        <v>90816.4</v>
      </c>
      <c r="N148" s="82">
        <v>132033.15</v>
      </c>
      <c r="O148" s="17">
        <v>156522.43</v>
      </c>
    </row>
    <row r="149" spans="2:15" ht="18.75" hidden="1">
      <c r="B149" s="596" t="s">
        <v>659</v>
      </c>
      <c r="C149" s="596"/>
      <c r="D149" s="31"/>
      <c r="E149" s="31"/>
      <c r="F149" s="31"/>
      <c r="G149" s="31"/>
      <c r="H149" s="402"/>
      <c r="I149" s="82"/>
      <c r="J149" s="82">
        <v>6959.29</v>
      </c>
      <c r="K149" s="82"/>
      <c r="L149" s="82"/>
      <c r="M149" s="82"/>
      <c r="N149" s="82"/>
      <c r="O149" s="17"/>
    </row>
    <row r="150" spans="2:15" ht="18.75">
      <c r="B150" s="596" t="s">
        <v>581</v>
      </c>
      <c r="C150" s="596"/>
      <c r="D150" s="31"/>
      <c r="E150" s="31"/>
      <c r="F150" s="31"/>
      <c r="G150" s="31"/>
      <c r="H150" s="402">
        <v>9949.26</v>
      </c>
      <c r="I150" s="82">
        <v>11054.26</v>
      </c>
      <c r="J150" s="82">
        <v>5825.04</v>
      </c>
      <c r="K150" s="82">
        <v>8553.14</v>
      </c>
      <c r="L150" s="82">
        <v>10150.62</v>
      </c>
      <c r="M150" s="82"/>
      <c r="N150" s="82">
        <v>8320.66</v>
      </c>
      <c r="O150" s="17">
        <v>78671.71</v>
      </c>
    </row>
    <row r="151" spans="2:15" ht="18.75" hidden="1">
      <c r="B151" s="596" t="s">
        <v>517</v>
      </c>
      <c r="C151" s="596"/>
      <c r="D151" s="31"/>
      <c r="E151" s="31"/>
      <c r="F151" s="31"/>
      <c r="G151" s="31"/>
      <c r="H151" s="402"/>
      <c r="I151" s="82"/>
      <c r="J151" s="82"/>
      <c r="K151" s="82">
        <f>44616.67-594.37</f>
        <v>44022.299999999996</v>
      </c>
      <c r="L151" s="82">
        <f>955061.43+29775+17265</f>
        <v>1002101.43</v>
      </c>
      <c r="M151" s="82"/>
      <c r="N151" s="82">
        <v>2193887.36</v>
      </c>
      <c r="O151" s="17">
        <v>1539170.81</v>
      </c>
    </row>
    <row r="152" spans="2:51" s="4" customFormat="1" ht="18.75">
      <c r="B152" s="596" t="s">
        <v>884</v>
      </c>
      <c r="C152" s="596"/>
      <c r="D152" s="31"/>
      <c r="E152" s="31"/>
      <c r="F152" s="31"/>
      <c r="G152" s="31"/>
      <c r="H152" s="402"/>
      <c r="I152" s="82">
        <v>500</v>
      </c>
      <c r="J152" s="82"/>
      <c r="K152" s="82"/>
      <c r="L152" s="82"/>
      <c r="M152" s="82"/>
      <c r="N152" s="82"/>
      <c r="O152" s="17"/>
      <c r="Q152" s="173"/>
      <c r="R152" s="173"/>
      <c r="S152" s="173"/>
      <c r="T152" s="173"/>
      <c r="U152" s="173"/>
      <c r="V152" s="173"/>
      <c r="W152" s="173"/>
      <c r="X152" s="173"/>
      <c r="Y152" s="173"/>
      <c r="Z152" s="173"/>
      <c r="AA152" s="173"/>
      <c r="AB152" s="173"/>
      <c r="AC152" s="173"/>
      <c r="AD152" s="173"/>
      <c r="AE152" s="173"/>
      <c r="AF152" s="173"/>
      <c r="AG152" s="173"/>
      <c r="AH152" s="173"/>
      <c r="AI152" s="173"/>
      <c r="AJ152" s="173"/>
      <c r="AK152" s="173"/>
      <c r="AL152" s="173"/>
      <c r="AM152" s="173"/>
      <c r="AN152" s="173"/>
      <c r="AO152" s="173"/>
      <c r="AP152" s="173"/>
      <c r="AQ152" s="173"/>
      <c r="AR152" s="173"/>
      <c r="AS152" s="173"/>
      <c r="AT152" s="173"/>
      <c r="AU152" s="172"/>
      <c r="AV152" s="172"/>
      <c r="AW152" s="172"/>
      <c r="AX152" s="172"/>
      <c r="AY152" s="172"/>
    </row>
    <row r="153" spans="2:51" s="4" customFormat="1" ht="18.75">
      <c r="B153" s="596" t="s">
        <v>885</v>
      </c>
      <c r="C153" s="596"/>
      <c r="D153" s="31"/>
      <c r="E153" s="31"/>
      <c r="F153" s="31"/>
      <c r="G153" s="31"/>
      <c r="H153" s="402">
        <v>1319.25</v>
      </c>
      <c r="I153" s="402"/>
      <c r="J153" s="402"/>
      <c r="K153" s="402"/>
      <c r="L153" s="402"/>
      <c r="M153" s="402"/>
      <c r="N153" s="402"/>
      <c r="O153" s="17"/>
      <c r="Q153" s="173"/>
      <c r="R153" s="173"/>
      <c r="S153" s="173"/>
      <c r="T153" s="173"/>
      <c r="U153" s="173"/>
      <c r="V153" s="173"/>
      <c r="W153" s="173"/>
      <c r="X153" s="173"/>
      <c r="Y153" s="173"/>
      <c r="Z153" s="173"/>
      <c r="AA153" s="173"/>
      <c r="AB153" s="173"/>
      <c r="AC153" s="173"/>
      <c r="AD153" s="173"/>
      <c r="AE153" s="173"/>
      <c r="AF153" s="173"/>
      <c r="AG153" s="173"/>
      <c r="AH153" s="173"/>
      <c r="AI153" s="173"/>
      <c r="AJ153" s="173"/>
      <c r="AK153" s="173"/>
      <c r="AL153" s="173"/>
      <c r="AM153" s="173"/>
      <c r="AN153" s="173"/>
      <c r="AO153" s="173"/>
      <c r="AP153" s="173"/>
      <c r="AQ153" s="173"/>
      <c r="AR153" s="173"/>
      <c r="AS153" s="173"/>
      <c r="AT153" s="173"/>
      <c r="AU153" s="172"/>
      <c r="AV153" s="172"/>
      <c r="AW153" s="172"/>
      <c r="AX153" s="172"/>
      <c r="AY153" s="172"/>
    </row>
    <row r="154" spans="2:15" ht="18.75">
      <c r="B154" s="594"/>
      <c r="C154" s="594"/>
      <c r="D154" s="400"/>
      <c r="E154" s="400"/>
      <c r="F154" s="400"/>
      <c r="G154" s="400"/>
      <c r="H154" s="513"/>
      <c r="I154" s="82"/>
      <c r="J154" s="82">
        <f>8136.85+2.67</f>
        <v>8139.52</v>
      </c>
      <c r="K154" s="82">
        <v>15627.87</v>
      </c>
      <c r="L154" s="82">
        <f>8356.01+2.03</f>
        <v>8358.04</v>
      </c>
      <c r="M154" s="82">
        <f>52869.79-10976</f>
        <v>41893.79</v>
      </c>
      <c r="N154" s="82">
        <v>4659.98</v>
      </c>
      <c r="O154" s="17">
        <v>43070.83</v>
      </c>
    </row>
    <row r="155" spans="2:15" ht="18.75" hidden="1">
      <c r="B155" s="596" t="s">
        <v>357</v>
      </c>
      <c r="C155" s="596"/>
      <c r="D155" s="31"/>
      <c r="E155" s="31"/>
      <c r="F155" s="31"/>
      <c r="G155" s="31"/>
      <c r="H155" s="402"/>
      <c r="I155" s="82"/>
      <c r="J155" s="82"/>
      <c r="K155" s="82"/>
      <c r="L155" s="82"/>
      <c r="M155" s="82">
        <v>5000</v>
      </c>
      <c r="N155" s="82"/>
      <c r="O155" s="17"/>
    </row>
    <row r="156" spans="2:15" ht="18.75" hidden="1">
      <c r="B156" s="596" t="s">
        <v>358</v>
      </c>
      <c r="C156" s="596"/>
      <c r="D156" s="31"/>
      <c r="E156" s="31"/>
      <c r="F156" s="31"/>
      <c r="G156" s="31"/>
      <c r="H156" s="402"/>
      <c r="I156" s="82"/>
      <c r="J156" s="82"/>
      <c r="K156" s="82"/>
      <c r="L156" s="82"/>
      <c r="M156" s="82"/>
      <c r="N156" s="82"/>
      <c r="O156" s="17"/>
    </row>
    <row r="157" spans="2:15" ht="18.75" hidden="1">
      <c r="B157" s="596" t="s">
        <v>356</v>
      </c>
      <c r="C157" s="596"/>
      <c r="D157" s="31"/>
      <c r="E157" s="31"/>
      <c r="F157" s="31"/>
      <c r="G157" s="31"/>
      <c r="H157" s="402"/>
      <c r="I157" s="82"/>
      <c r="J157" s="82"/>
      <c r="K157" s="82"/>
      <c r="L157" s="82"/>
      <c r="M157" s="82"/>
      <c r="N157" s="82"/>
      <c r="O157" s="17"/>
    </row>
    <row r="158" spans="2:15" ht="18.75" hidden="1">
      <c r="B158" s="596" t="s">
        <v>516</v>
      </c>
      <c r="C158" s="596"/>
      <c r="D158" s="31"/>
      <c r="E158" s="31"/>
      <c r="F158" s="31"/>
      <c r="G158" s="31"/>
      <c r="H158" s="402"/>
      <c r="I158" s="82"/>
      <c r="J158" s="82"/>
      <c r="K158" s="82"/>
      <c r="L158" s="82"/>
      <c r="M158" s="82"/>
      <c r="N158" s="82"/>
      <c r="O158" s="17">
        <v>198197.15</v>
      </c>
    </row>
    <row r="159" spans="2:15" ht="18.75" hidden="1">
      <c r="B159" s="596" t="s">
        <v>518</v>
      </c>
      <c r="C159" s="596"/>
      <c r="D159" s="31"/>
      <c r="E159" s="31"/>
      <c r="F159" s="31"/>
      <c r="G159" s="31"/>
      <c r="H159" s="402"/>
      <c r="I159" s="82"/>
      <c r="J159" s="82"/>
      <c r="K159" s="82"/>
      <c r="L159" s="82"/>
      <c r="M159" s="82"/>
      <c r="N159" s="82"/>
      <c r="O159" s="17">
        <v>2064.48</v>
      </c>
    </row>
    <row r="160" spans="2:15" ht="19.5" thickBot="1">
      <c r="B160" s="509" t="s">
        <v>304</v>
      </c>
      <c r="C160" s="594"/>
      <c r="D160" s="400"/>
      <c r="E160" s="400"/>
      <c r="F160" s="400"/>
      <c r="G160" s="400"/>
      <c r="H160" s="512">
        <f>SUM(H147:H159)</f>
        <v>10396804.74</v>
      </c>
      <c r="I160" s="83">
        <f>SUM(I147:I159)</f>
        <v>10076631.11</v>
      </c>
      <c r="J160" s="83">
        <f>SUM(J62:J159)</f>
        <v>52826104.660000004</v>
      </c>
      <c r="K160" s="83">
        <f>SUM(K62:K159)</f>
        <v>50397608.80000001</v>
      </c>
      <c r="L160" s="83">
        <f>SUM(L62:L159)</f>
        <v>52505244.129999995</v>
      </c>
      <c r="M160" s="36">
        <f>SUM(M60:M159)</f>
        <v>40974861.95</v>
      </c>
      <c r="N160" s="48">
        <f>SUM(N62:N159)</f>
        <v>45285237.68999998</v>
      </c>
      <c r="O160" s="36">
        <f>SUM(O60:O159)</f>
        <v>43728780.86000001</v>
      </c>
    </row>
    <row r="161" spans="2:15" ht="19.5" thickTop="1">
      <c r="B161" s="596"/>
      <c r="C161" s="596"/>
      <c r="D161" s="31"/>
      <c r="E161" s="31"/>
      <c r="F161" s="31"/>
      <c r="G161" s="31"/>
      <c r="H161" s="31"/>
      <c r="I161" s="31"/>
      <c r="J161" s="31"/>
      <c r="K161" s="31"/>
      <c r="L161" s="31"/>
      <c r="M161" s="17"/>
      <c r="N161" s="17"/>
      <c r="O161" s="17"/>
    </row>
    <row r="162" spans="2:14" ht="18.75">
      <c r="B162" s="596"/>
      <c r="C162" s="596"/>
      <c r="D162" s="31"/>
      <c r="E162" s="31"/>
      <c r="F162" s="31"/>
      <c r="G162" s="31"/>
      <c r="H162" s="31"/>
      <c r="I162" s="31"/>
      <c r="J162" s="31"/>
      <c r="K162" s="31"/>
      <c r="L162" s="31"/>
      <c r="M162" s="17"/>
      <c r="N162" s="17"/>
    </row>
    <row r="163" spans="2:14" ht="20.25">
      <c r="B163" s="599" t="s">
        <v>602</v>
      </c>
      <c r="C163" s="596"/>
      <c r="D163" s="31"/>
      <c r="E163" s="31"/>
      <c r="F163" s="31"/>
      <c r="G163" s="31"/>
      <c r="H163" s="31"/>
      <c r="I163" s="31"/>
      <c r="J163" s="31"/>
      <c r="K163" s="31"/>
      <c r="L163" s="31"/>
      <c r="M163" s="17"/>
      <c r="N163" s="17"/>
    </row>
    <row r="164" spans="2:15" ht="18.75">
      <c r="B164" s="596"/>
      <c r="C164" s="596"/>
      <c r="D164" s="31"/>
      <c r="E164" s="31"/>
      <c r="F164" s="31"/>
      <c r="G164" s="31"/>
      <c r="H164" s="61" t="s">
        <v>504</v>
      </c>
      <c r="I164" s="61" t="s">
        <v>504</v>
      </c>
      <c r="J164" s="61" t="s">
        <v>504</v>
      </c>
      <c r="K164" s="61" t="s">
        <v>504</v>
      </c>
      <c r="L164" s="610" t="s">
        <v>534</v>
      </c>
      <c r="M164" s="610"/>
      <c r="N164" s="609" t="s">
        <v>534</v>
      </c>
      <c r="O164" s="609"/>
    </row>
    <row r="165" spans="2:15" ht="18.75">
      <c r="B165" s="596"/>
      <c r="C165" s="596"/>
      <c r="D165" s="31"/>
      <c r="E165" s="31"/>
      <c r="F165" s="31"/>
      <c r="G165" s="31"/>
      <c r="H165" s="32">
        <v>2022</v>
      </c>
      <c r="I165" s="32">
        <v>2021</v>
      </c>
      <c r="J165" s="32">
        <v>2020</v>
      </c>
      <c r="K165" s="32">
        <v>2019</v>
      </c>
      <c r="L165" s="32">
        <v>2018</v>
      </c>
      <c r="M165" s="32"/>
      <c r="N165" s="60">
        <v>2017</v>
      </c>
      <c r="O165" s="60">
        <v>2016</v>
      </c>
    </row>
    <row r="166" spans="2:14" ht="20.25">
      <c r="B166" s="603" t="s">
        <v>0</v>
      </c>
      <c r="C166" s="594"/>
      <c r="D166" s="400"/>
      <c r="E166" s="400"/>
      <c r="F166" s="400"/>
      <c r="G166" s="400"/>
      <c r="H166" s="400"/>
      <c r="I166" s="400"/>
      <c r="J166" s="31"/>
      <c r="K166" s="31"/>
      <c r="L166" s="31"/>
      <c r="M166" s="17"/>
      <c r="N166" s="17"/>
    </row>
    <row r="167" spans="2:15" ht="18.75">
      <c r="B167" s="596" t="s">
        <v>360</v>
      </c>
      <c r="C167" s="596"/>
      <c r="D167" s="31"/>
      <c r="E167" s="31"/>
      <c r="F167" s="31"/>
      <c r="G167" s="31"/>
      <c r="H167" s="17">
        <v>15217759.87</v>
      </c>
      <c r="I167" s="17">
        <v>13754462.72</v>
      </c>
      <c r="J167" s="17">
        <v>11263522.55</v>
      </c>
      <c r="K167" s="17">
        <v>14224921.55</v>
      </c>
      <c r="L167" s="17">
        <v>11526171.88</v>
      </c>
      <c r="M167" s="17">
        <v>13501445.45</v>
      </c>
      <c r="N167" s="17">
        <v>12741489</v>
      </c>
      <c r="O167" s="17">
        <v>11912161.35</v>
      </c>
    </row>
    <row r="168" spans="2:15" ht="18.75" hidden="1">
      <c r="B168" s="596" t="s">
        <v>361</v>
      </c>
      <c r="C168" s="596"/>
      <c r="D168" s="31"/>
      <c r="E168" s="31"/>
      <c r="F168" s="31"/>
      <c r="G168" s="31"/>
      <c r="H168" s="17"/>
      <c r="I168" s="17"/>
      <c r="J168" s="17"/>
      <c r="K168" s="17"/>
      <c r="L168" s="17"/>
      <c r="M168" s="17"/>
      <c r="N168" s="17"/>
      <c r="O168" s="17"/>
    </row>
    <row r="169" spans="2:15" ht="18.75" hidden="1">
      <c r="B169" s="596" t="s">
        <v>362</v>
      </c>
      <c r="C169" s="596"/>
      <c r="D169" s="31"/>
      <c r="E169" s="31"/>
      <c r="F169" s="31"/>
      <c r="G169" s="31"/>
      <c r="H169" s="17"/>
      <c r="I169" s="17"/>
      <c r="J169" s="17"/>
      <c r="K169" s="17"/>
      <c r="L169" s="17"/>
      <c r="M169" s="17"/>
      <c r="N169" s="17"/>
      <c r="O169" s="17"/>
    </row>
    <row r="170" spans="2:15" ht="18.75">
      <c r="B170" s="596" t="s">
        <v>363</v>
      </c>
      <c r="C170" s="596"/>
      <c r="D170" s="31"/>
      <c r="E170" s="31"/>
      <c r="F170" s="31"/>
      <c r="G170" s="31"/>
      <c r="H170" s="17">
        <v>166099.7</v>
      </c>
      <c r="I170" s="17">
        <v>94784.51</v>
      </c>
      <c r="J170" s="17">
        <v>84300.58</v>
      </c>
      <c r="K170" s="17">
        <v>49530.99</v>
      </c>
      <c r="L170" s="17">
        <v>197636.82</v>
      </c>
      <c r="M170" s="17">
        <v>43942.41</v>
      </c>
      <c r="N170" s="17">
        <v>79901.01</v>
      </c>
      <c r="O170" s="17">
        <v>66799.03</v>
      </c>
    </row>
    <row r="171" spans="2:15" ht="18.75" hidden="1">
      <c r="B171" s="596" t="s">
        <v>364</v>
      </c>
      <c r="C171" s="596"/>
      <c r="D171" s="31"/>
      <c r="E171" s="31"/>
      <c r="F171" s="31"/>
      <c r="G171" s="31"/>
      <c r="H171" s="17"/>
      <c r="I171" s="17"/>
      <c r="J171" s="17"/>
      <c r="K171" s="17"/>
      <c r="L171" s="17"/>
      <c r="M171" s="17"/>
      <c r="N171" s="17"/>
      <c r="O171" s="17"/>
    </row>
    <row r="172" spans="2:15" ht="18.75" hidden="1">
      <c r="B172" s="596" t="s">
        <v>365</v>
      </c>
      <c r="C172" s="596"/>
      <c r="D172" s="31"/>
      <c r="E172" s="31"/>
      <c r="F172" s="31"/>
      <c r="G172" s="31"/>
      <c r="H172" s="17"/>
      <c r="I172" s="17"/>
      <c r="J172" s="17"/>
      <c r="K172" s="17"/>
      <c r="L172" s="17"/>
      <c r="M172" s="17"/>
      <c r="N172" s="17"/>
      <c r="O172" s="17">
        <v>2279.6</v>
      </c>
    </row>
    <row r="173" spans="2:15" ht="18.75" hidden="1">
      <c r="B173" s="596" t="s">
        <v>366</v>
      </c>
      <c r="C173" s="596"/>
      <c r="D173" s="31"/>
      <c r="E173" s="31"/>
      <c r="F173" s="31"/>
      <c r="G173" s="31"/>
      <c r="H173" s="17"/>
      <c r="I173" s="17"/>
      <c r="J173" s="17"/>
      <c r="K173" s="17"/>
      <c r="L173" s="17"/>
      <c r="M173" s="17"/>
      <c r="N173" s="17"/>
      <c r="O173" s="17"/>
    </row>
    <row r="174" spans="2:15" ht="18.75" hidden="1">
      <c r="B174" s="596" t="s">
        <v>367</v>
      </c>
      <c r="C174" s="596"/>
      <c r="D174" s="31"/>
      <c r="E174" s="31"/>
      <c r="F174" s="31"/>
      <c r="G174" s="31"/>
      <c r="H174" s="17"/>
      <c r="I174" s="17"/>
      <c r="J174" s="17"/>
      <c r="K174" s="17"/>
      <c r="L174" s="17"/>
      <c r="M174" s="17"/>
      <c r="N174" s="17"/>
      <c r="O174" s="17"/>
    </row>
    <row r="175" spans="2:15" ht="18.75">
      <c r="B175" s="596" t="s">
        <v>368</v>
      </c>
      <c r="C175" s="596"/>
      <c r="D175" s="31"/>
      <c r="E175" s="31"/>
      <c r="F175" s="31"/>
      <c r="G175" s="31"/>
      <c r="H175" s="17">
        <v>1538.57</v>
      </c>
      <c r="I175" s="17"/>
      <c r="J175" s="17"/>
      <c r="K175" s="17"/>
      <c r="L175" s="17">
        <v>1486.8</v>
      </c>
      <c r="M175" s="17"/>
      <c r="N175" s="17">
        <v>106.2</v>
      </c>
      <c r="O175" s="17">
        <v>4330</v>
      </c>
    </row>
    <row r="176" spans="2:15" ht="18.75">
      <c r="B176" s="596" t="s">
        <v>369</v>
      </c>
      <c r="C176" s="596"/>
      <c r="D176" s="31"/>
      <c r="E176" s="31"/>
      <c r="F176" s="31"/>
      <c r="G176" s="31"/>
      <c r="H176" s="17">
        <v>168048.12</v>
      </c>
      <c r="I176" s="17">
        <v>70392.25</v>
      </c>
      <c r="J176" s="17">
        <v>190548.56</v>
      </c>
      <c r="K176" s="17">
        <v>365312.04</v>
      </c>
      <c r="L176" s="17">
        <v>24103.51</v>
      </c>
      <c r="M176" s="17">
        <v>63657.25</v>
      </c>
      <c r="N176" s="17">
        <v>155858.6</v>
      </c>
      <c r="O176" s="17">
        <v>65188.49</v>
      </c>
    </row>
    <row r="177" spans="2:15" ht="18.75">
      <c r="B177" s="596" t="s">
        <v>370</v>
      </c>
      <c r="C177" s="596"/>
      <c r="D177" s="31"/>
      <c r="E177" s="31"/>
      <c r="F177" s="31"/>
      <c r="G177" s="31"/>
      <c r="H177" s="17">
        <v>229153.64</v>
      </c>
      <c r="I177" s="17">
        <v>172058.81</v>
      </c>
      <c r="J177" s="17">
        <v>68827.82</v>
      </c>
      <c r="K177" s="17">
        <v>835793.6</v>
      </c>
      <c r="L177" s="17">
        <v>4818.01</v>
      </c>
      <c r="M177" s="17">
        <v>65974.98</v>
      </c>
      <c r="N177" s="17">
        <v>77606.7</v>
      </c>
      <c r="O177" s="17">
        <v>124710.03</v>
      </c>
    </row>
    <row r="178" spans="2:15" ht="18.75" hidden="1">
      <c r="B178" s="596" t="s">
        <v>371</v>
      </c>
      <c r="C178" s="596"/>
      <c r="D178" s="31"/>
      <c r="E178" s="31"/>
      <c r="F178" s="31"/>
      <c r="G178" s="31"/>
      <c r="H178" s="17"/>
      <c r="I178" s="17"/>
      <c r="J178" s="17"/>
      <c r="K178" s="17"/>
      <c r="L178" s="17"/>
      <c r="M178" s="17"/>
      <c r="N178" s="17"/>
      <c r="O178" s="17"/>
    </row>
    <row r="179" spans="2:15" ht="18.75" hidden="1">
      <c r="B179" s="596" t="s">
        <v>372</v>
      </c>
      <c r="C179" s="596"/>
      <c r="D179" s="31"/>
      <c r="E179" s="31"/>
      <c r="F179" s="31"/>
      <c r="G179" s="31"/>
      <c r="H179" s="17"/>
      <c r="I179" s="17"/>
      <c r="J179" s="17"/>
      <c r="K179" s="17"/>
      <c r="L179" s="17"/>
      <c r="M179" s="17">
        <v>160209</v>
      </c>
      <c r="N179" s="17"/>
      <c r="O179" s="17"/>
    </row>
    <row r="180" spans="2:15" ht="18.75">
      <c r="B180" s="596" t="s">
        <v>373</v>
      </c>
      <c r="C180" s="596"/>
      <c r="D180" s="31"/>
      <c r="E180" s="31"/>
      <c r="F180" s="31"/>
      <c r="G180" s="31"/>
      <c r="H180" s="17">
        <v>1949431.47</v>
      </c>
      <c r="I180" s="17">
        <v>1890757.47</v>
      </c>
      <c r="J180" s="17">
        <v>1295164.55</v>
      </c>
      <c r="K180" s="17">
        <v>2201607.02</v>
      </c>
      <c r="L180" s="17">
        <v>2882775.09</v>
      </c>
      <c r="M180" s="17">
        <v>1571106.66</v>
      </c>
      <c r="N180" s="17">
        <v>3681571.07</v>
      </c>
      <c r="O180" s="17">
        <v>2501367.92</v>
      </c>
    </row>
    <row r="181" spans="2:15" ht="18.75">
      <c r="B181" s="596" t="s">
        <v>374</v>
      </c>
      <c r="C181" s="596"/>
      <c r="D181" s="31"/>
      <c r="E181" s="31"/>
      <c r="F181" s="31"/>
      <c r="G181" s="31"/>
      <c r="H181" s="17">
        <v>553385.13</v>
      </c>
      <c r="I181" s="17">
        <v>199964.63</v>
      </c>
      <c r="J181" s="17">
        <v>64521.76</v>
      </c>
      <c r="K181" s="17">
        <v>151717.49</v>
      </c>
      <c r="L181" s="17">
        <v>196813.78</v>
      </c>
      <c r="M181" s="17">
        <v>50733.6</v>
      </c>
      <c r="N181" s="17">
        <v>128791.2</v>
      </c>
      <c r="O181" s="17">
        <v>4171</v>
      </c>
    </row>
    <row r="182" spans="2:15" ht="18.75">
      <c r="B182" s="596" t="s">
        <v>375</v>
      </c>
      <c r="C182" s="596"/>
      <c r="D182" s="31"/>
      <c r="E182" s="31"/>
      <c r="F182" s="31"/>
      <c r="G182" s="31"/>
      <c r="H182" s="17">
        <v>1110</v>
      </c>
      <c r="I182" s="17">
        <v>750</v>
      </c>
      <c r="J182" s="17">
        <v>31537.5</v>
      </c>
      <c r="K182" s="17">
        <v>8250</v>
      </c>
      <c r="L182" s="17">
        <v>25000</v>
      </c>
      <c r="M182" s="17">
        <v>40081.1</v>
      </c>
      <c r="N182" s="17">
        <v>58418.4</v>
      </c>
      <c r="O182" s="17">
        <v>26400</v>
      </c>
    </row>
    <row r="183" spans="2:15" ht="18.75" hidden="1">
      <c r="B183" s="596" t="s">
        <v>376</v>
      </c>
      <c r="C183" s="596"/>
      <c r="D183" s="31"/>
      <c r="E183" s="31"/>
      <c r="F183" s="31"/>
      <c r="G183" s="31"/>
      <c r="H183" s="17"/>
      <c r="I183" s="17"/>
      <c r="J183" s="17"/>
      <c r="K183" s="17"/>
      <c r="L183" s="17"/>
      <c r="M183" s="17"/>
      <c r="N183" s="17"/>
      <c r="O183" s="17"/>
    </row>
    <row r="184" spans="2:15" ht="18.75" hidden="1">
      <c r="B184" s="596" t="s">
        <v>377</v>
      </c>
      <c r="C184" s="596"/>
      <c r="D184" s="31"/>
      <c r="E184" s="31"/>
      <c r="F184" s="31"/>
      <c r="G184" s="31"/>
      <c r="H184" s="17"/>
      <c r="I184" s="17"/>
      <c r="J184" s="17"/>
      <c r="K184" s="17"/>
      <c r="L184" s="17"/>
      <c r="M184" s="17"/>
      <c r="N184" s="17"/>
      <c r="O184" s="17"/>
    </row>
    <row r="185" spans="2:15" ht="18.75">
      <c r="B185" s="596" t="s">
        <v>378</v>
      </c>
      <c r="C185" s="596"/>
      <c r="D185" s="31"/>
      <c r="E185" s="31"/>
      <c r="F185" s="31"/>
      <c r="G185" s="31"/>
      <c r="H185" s="17">
        <v>15033.2</v>
      </c>
      <c r="I185" s="17">
        <v>1367.33</v>
      </c>
      <c r="J185" s="17">
        <v>5756.79</v>
      </c>
      <c r="K185" s="17">
        <v>3200</v>
      </c>
      <c r="L185" s="17"/>
      <c r="M185" s="17"/>
      <c r="N185" s="17"/>
      <c r="O185" s="17"/>
    </row>
    <row r="186" spans="2:15" ht="18.75">
      <c r="B186" s="596" t="s">
        <v>519</v>
      </c>
      <c r="C186" s="596"/>
      <c r="D186" s="31"/>
      <c r="E186" s="31"/>
      <c r="F186" s="31"/>
      <c r="G186" s="31"/>
      <c r="H186" s="17">
        <v>40073.97</v>
      </c>
      <c r="I186" s="17">
        <v>55766.8</v>
      </c>
      <c r="J186" s="17">
        <v>52700.03</v>
      </c>
      <c r="K186" s="17">
        <v>116300.8</v>
      </c>
      <c r="L186" s="17">
        <v>150728.48</v>
      </c>
      <c r="M186" s="17">
        <v>243410</v>
      </c>
      <c r="N186" s="17">
        <v>99160.43</v>
      </c>
      <c r="O186" s="17">
        <v>134117.15</v>
      </c>
    </row>
    <row r="187" spans="2:15" ht="18.75">
      <c r="B187" s="596" t="s">
        <v>379</v>
      </c>
      <c r="C187" s="596"/>
      <c r="D187" s="31"/>
      <c r="E187" s="31"/>
      <c r="F187" s="31"/>
      <c r="G187" s="31"/>
      <c r="H187" s="17">
        <v>300</v>
      </c>
      <c r="I187" s="17"/>
      <c r="J187" s="17"/>
      <c r="K187" s="17"/>
      <c r="L187" s="17"/>
      <c r="M187" s="17"/>
      <c r="N187" s="17"/>
      <c r="O187" s="17"/>
    </row>
    <row r="188" spans="2:15" ht="18.75">
      <c r="B188" s="596" t="s">
        <v>380</v>
      </c>
      <c r="C188" s="596"/>
      <c r="D188" s="31"/>
      <c r="E188" s="31"/>
      <c r="F188" s="31"/>
      <c r="G188" s="31"/>
      <c r="H188" s="17">
        <v>84077.49</v>
      </c>
      <c r="I188" s="17">
        <v>270353.72</v>
      </c>
      <c r="J188" s="17">
        <v>302294.11</v>
      </c>
      <c r="K188" s="17">
        <v>131608.13</v>
      </c>
      <c r="L188" s="17">
        <v>108421.18</v>
      </c>
      <c r="M188" s="17">
        <v>259193.01</v>
      </c>
      <c r="N188" s="17">
        <v>295738.26</v>
      </c>
      <c r="O188" s="17">
        <v>75589.82</v>
      </c>
    </row>
    <row r="189" spans="2:15" ht="18.75">
      <c r="B189" s="596" t="s">
        <v>381</v>
      </c>
      <c r="C189" s="596"/>
      <c r="D189" s="31"/>
      <c r="E189" s="31"/>
      <c r="F189" s="31"/>
      <c r="G189" s="31"/>
      <c r="H189" s="17">
        <v>5162503.22</v>
      </c>
      <c r="I189" s="17">
        <v>5386034.29</v>
      </c>
      <c r="J189" s="17">
        <v>4125422.82</v>
      </c>
      <c r="K189" s="17">
        <v>5911625.53</v>
      </c>
      <c r="L189" s="17">
        <v>5982448.89</v>
      </c>
      <c r="M189" s="17">
        <v>5456034.19</v>
      </c>
      <c r="N189" s="17">
        <v>4553977.94</v>
      </c>
      <c r="O189" s="17">
        <v>6006213.08</v>
      </c>
    </row>
    <row r="190" spans="2:15" ht="18.75" hidden="1">
      <c r="B190" s="596" t="s">
        <v>382</v>
      </c>
      <c r="C190" s="596"/>
      <c r="D190" s="31"/>
      <c r="E190" s="31"/>
      <c r="F190" s="31"/>
      <c r="G190" s="31"/>
      <c r="H190" s="17"/>
      <c r="I190" s="17"/>
      <c r="J190" s="17"/>
      <c r="K190" s="17"/>
      <c r="L190" s="17"/>
      <c r="M190" s="17"/>
      <c r="N190" s="17"/>
      <c r="O190" s="17"/>
    </row>
    <row r="191" spans="2:15" ht="18.75">
      <c r="B191" s="596" t="s">
        <v>383</v>
      </c>
      <c r="C191" s="596"/>
      <c r="D191" s="31"/>
      <c r="E191" s="31"/>
      <c r="F191" s="31"/>
      <c r="G191" s="31"/>
      <c r="H191" s="17">
        <v>5920.5</v>
      </c>
      <c r="I191" s="17">
        <v>3045</v>
      </c>
      <c r="J191" s="17">
        <v>37395.6</v>
      </c>
      <c r="K191" s="17">
        <v>6215.7</v>
      </c>
      <c r="L191" s="17">
        <v>3621.16</v>
      </c>
      <c r="M191" s="17">
        <v>6608.85</v>
      </c>
      <c r="N191" s="17">
        <v>7032.48</v>
      </c>
      <c r="O191" s="17">
        <v>5007.56</v>
      </c>
    </row>
    <row r="192" spans="2:15" ht="18.75">
      <c r="B192" s="596" t="s">
        <v>384</v>
      </c>
      <c r="C192" s="596"/>
      <c r="D192" s="31"/>
      <c r="E192" s="31"/>
      <c r="F192" s="31"/>
      <c r="G192" s="31"/>
      <c r="H192" s="17">
        <v>12511</v>
      </c>
      <c r="I192" s="17">
        <v>5506.26</v>
      </c>
      <c r="J192" s="17">
        <v>8306</v>
      </c>
      <c r="K192" s="17">
        <v>9552</v>
      </c>
      <c r="L192" s="17">
        <v>17000</v>
      </c>
      <c r="M192" s="17">
        <v>18963.91</v>
      </c>
      <c r="N192" s="17"/>
      <c r="O192" s="17">
        <v>24634.94</v>
      </c>
    </row>
    <row r="193" spans="2:15" ht="18.75">
      <c r="B193" s="596" t="s">
        <v>385</v>
      </c>
      <c r="C193" s="596"/>
      <c r="D193" s="31"/>
      <c r="E193" s="31"/>
      <c r="F193" s="31"/>
      <c r="G193" s="31"/>
      <c r="H193" s="17">
        <v>196659.27</v>
      </c>
      <c r="I193" s="17">
        <v>156006.28</v>
      </c>
      <c r="J193" s="17">
        <v>107171</v>
      </c>
      <c r="K193" s="17">
        <v>181279.3</v>
      </c>
      <c r="L193" s="17">
        <v>140412.7</v>
      </c>
      <c r="M193" s="17">
        <v>109066.22</v>
      </c>
      <c r="N193" s="17">
        <v>123740.3</v>
      </c>
      <c r="O193" s="17">
        <v>204104.09</v>
      </c>
    </row>
    <row r="194" spans="2:15" ht="16.5" customHeight="1">
      <c r="B194" s="596" t="s">
        <v>520</v>
      </c>
      <c r="C194" s="596"/>
      <c r="D194" s="31"/>
      <c r="E194" s="31"/>
      <c r="F194" s="31"/>
      <c r="G194" s="31"/>
      <c r="H194" s="17">
        <v>862932.98</v>
      </c>
      <c r="I194" s="17">
        <v>455712.32</v>
      </c>
      <c r="J194" s="17">
        <v>538127.05</v>
      </c>
      <c r="K194" s="17">
        <v>454833.81</v>
      </c>
      <c r="L194" s="17">
        <v>480986.55</v>
      </c>
      <c r="M194" s="17">
        <v>319169.55</v>
      </c>
      <c r="N194" s="17">
        <v>466741.6</v>
      </c>
      <c r="O194" s="17">
        <v>576967.08</v>
      </c>
    </row>
    <row r="195" spans="2:15" ht="18.75" hidden="1">
      <c r="B195" s="596" t="s">
        <v>386</v>
      </c>
      <c r="C195" s="596"/>
      <c r="D195" s="31"/>
      <c r="E195" s="31"/>
      <c r="F195" s="31"/>
      <c r="G195" s="31"/>
      <c r="H195" s="17"/>
      <c r="I195" s="17"/>
      <c r="J195" s="17"/>
      <c r="K195" s="17"/>
      <c r="L195" s="17"/>
      <c r="M195" s="17"/>
      <c r="N195" s="17"/>
      <c r="O195" s="17"/>
    </row>
    <row r="196" spans="2:15" ht="18.75">
      <c r="B196" s="596" t="s">
        <v>387</v>
      </c>
      <c r="C196" s="596"/>
      <c r="D196" s="31"/>
      <c r="E196" s="31"/>
      <c r="F196" s="31"/>
      <c r="G196" s="31"/>
      <c r="H196" s="17">
        <v>117590.34</v>
      </c>
      <c r="I196" s="17">
        <v>1931</v>
      </c>
      <c r="J196" s="17">
        <v>8107.01</v>
      </c>
      <c r="K196" s="17">
        <v>189</v>
      </c>
      <c r="L196" s="17">
        <v>8833</v>
      </c>
      <c r="M196" s="17"/>
      <c r="N196" s="17"/>
      <c r="O196" s="17"/>
    </row>
    <row r="197" spans="2:15" ht="18.75">
      <c r="B197" s="596" t="s">
        <v>388</v>
      </c>
      <c r="C197" s="596"/>
      <c r="D197" s="31"/>
      <c r="E197" s="31"/>
      <c r="F197" s="31"/>
      <c r="G197" s="31"/>
      <c r="H197" s="17">
        <v>60308.28</v>
      </c>
      <c r="I197" s="17">
        <v>6215</v>
      </c>
      <c r="J197" s="17">
        <v>3489</v>
      </c>
      <c r="K197" s="17">
        <v>7373.65</v>
      </c>
      <c r="L197" s="17">
        <v>14573</v>
      </c>
      <c r="M197" s="17">
        <v>715.05</v>
      </c>
      <c r="N197" s="17">
        <v>8100.8</v>
      </c>
      <c r="O197" s="17">
        <v>58756.74</v>
      </c>
    </row>
    <row r="198" spans="2:15" ht="18.75">
      <c r="B198" s="596" t="s">
        <v>389</v>
      </c>
      <c r="C198" s="596"/>
      <c r="D198" s="31"/>
      <c r="E198" s="31"/>
      <c r="F198" s="31"/>
      <c r="G198" s="31"/>
      <c r="H198" s="17">
        <v>29105.6</v>
      </c>
      <c r="I198" s="17">
        <v>6723</v>
      </c>
      <c r="J198" s="17">
        <v>8078.01</v>
      </c>
      <c r="K198" s="17">
        <v>4710</v>
      </c>
      <c r="L198" s="17">
        <v>930.14</v>
      </c>
      <c r="M198" s="17"/>
      <c r="N198" s="17">
        <v>12122.99</v>
      </c>
      <c r="O198" s="17">
        <v>2009.5</v>
      </c>
    </row>
    <row r="199" spans="2:15" ht="18.75">
      <c r="B199" s="596" t="s">
        <v>521</v>
      </c>
      <c r="C199" s="596"/>
      <c r="D199" s="31"/>
      <c r="E199" s="31"/>
      <c r="F199" s="31"/>
      <c r="G199" s="31"/>
      <c r="H199" s="17">
        <v>27331.77</v>
      </c>
      <c r="I199" s="17">
        <v>6830.75</v>
      </c>
      <c r="J199" s="17">
        <v>7852</v>
      </c>
      <c r="K199" s="17">
        <v>3197.85</v>
      </c>
      <c r="L199" s="17">
        <v>12390</v>
      </c>
      <c r="M199" s="17">
        <v>669.97</v>
      </c>
      <c r="N199" s="17">
        <v>595</v>
      </c>
      <c r="O199" s="17">
        <v>2330.23</v>
      </c>
    </row>
    <row r="200" spans="2:15" ht="18.75">
      <c r="B200" s="596" t="s">
        <v>390</v>
      </c>
      <c r="C200" s="596"/>
      <c r="D200" s="31"/>
      <c r="E200" s="31"/>
      <c r="F200" s="31"/>
      <c r="G200" s="31"/>
      <c r="H200" s="17">
        <v>2317.78</v>
      </c>
      <c r="I200" s="17">
        <v>55028</v>
      </c>
      <c r="J200" s="17">
        <v>675</v>
      </c>
      <c r="K200" s="17">
        <v>984</v>
      </c>
      <c r="L200" s="17">
        <v>1208</v>
      </c>
      <c r="M200" s="17">
        <v>310</v>
      </c>
      <c r="N200" s="17">
        <v>4155</v>
      </c>
      <c r="O200" s="17">
        <v>220</v>
      </c>
    </row>
    <row r="201" spans="2:15" ht="18.75" hidden="1">
      <c r="B201" s="596" t="s">
        <v>391</v>
      </c>
      <c r="C201" s="596"/>
      <c r="D201" s="31"/>
      <c r="E201" s="31"/>
      <c r="F201" s="31"/>
      <c r="G201" s="31"/>
      <c r="H201" s="17"/>
      <c r="I201" s="17"/>
      <c r="J201" s="17"/>
      <c r="K201" s="17"/>
      <c r="L201" s="17"/>
      <c r="M201" s="17">
        <v>1179</v>
      </c>
      <c r="N201" s="17"/>
      <c r="O201" s="17"/>
    </row>
    <row r="202" spans="2:15" ht="15" customHeight="1">
      <c r="B202" s="596" t="s">
        <v>522</v>
      </c>
      <c r="C202" s="596"/>
      <c r="D202" s="31"/>
      <c r="E202" s="31"/>
      <c r="F202" s="31"/>
      <c r="G202" s="31"/>
      <c r="H202" s="17">
        <v>2329.61</v>
      </c>
      <c r="I202" s="17">
        <v>190047.03</v>
      </c>
      <c r="J202" s="17">
        <v>21499.56</v>
      </c>
      <c r="K202" s="17">
        <v>16126.59</v>
      </c>
      <c r="L202" s="17">
        <v>87467.93</v>
      </c>
      <c r="M202" s="17">
        <v>60451.88</v>
      </c>
      <c r="N202" s="17">
        <v>36441.61</v>
      </c>
      <c r="O202" s="17">
        <v>202971.08</v>
      </c>
    </row>
    <row r="203" spans="2:15" ht="15" customHeight="1" hidden="1">
      <c r="B203" s="596" t="s">
        <v>523</v>
      </c>
      <c r="C203" s="596"/>
      <c r="D203" s="31"/>
      <c r="E203" s="31"/>
      <c r="F203" s="31"/>
      <c r="G203" s="31"/>
      <c r="H203" s="17"/>
      <c r="I203" s="17"/>
      <c r="J203" s="17"/>
      <c r="K203" s="17"/>
      <c r="L203" s="17">
        <v>63134.15</v>
      </c>
      <c r="M203" s="17"/>
      <c r="N203" s="17">
        <v>66501.57</v>
      </c>
      <c r="O203" s="17">
        <v>33373.88</v>
      </c>
    </row>
    <row r="204" spans="2:15" ht="15" customHeight="1">
      <c r="B204" s="596" t="s">
        <v>392</v>
      </c>
      <c r="C204" s="596"/>
      <c r="D204" s="31"/>
      <c r="E204" s="31"/>
      <c r="F204" s="31"/>
      <c r="G204" s="31"/>
      <c r="H204" s="17">
        <v>35258.42</v>
      </c>
      <c r="I204" s="17"/>
      <c r="J204" s="17"/>
      <c r="K204" s="17"/>
      <c r="L204" s="17"/>
      <c r="M204" s="17">
        <v>738.05</v>
      </c>
      <c r="N204" s="17"/>
      <c r="O204" s="17"/>
    </row>
    <row r="205" spans="2:15" ht="15" customHeight="1">
      <c r="B205" s="596" t="s">
        <v>393</v>
      </c>
      <c r="C205" s="596"/>
      <c r="D205" s="31"/>
      <c r="E205" s="31"/>
      <c r="F205" s="31"/>
      <c r="G205" s="31"/>
      <c r="H205" s="17">
        <v>315750.9</v>
      </c>
      <c r="I205" s="17">
        <v>52510</v>
      </c>
      <c r="J205" s="17"/>
      <c r="K205" s="17"/>
      <c r="L205" s="17"/>
      <c r="M205" s="17"/>
      <c r="N205" s="17"/>
      <c r="O205" s="17"/>
    </row>
    <row r="206" spans="2:15" ht="15" customHeight="1">
      <c r="B206" s="596" t="s">
        <v>394</v>
      </c>
      <c r="C206" s="596"/>
      <c r="D206" s="31"/>
      <c r="E206" s="31"/>
      <c r="F206" s="31"/>
      <c r="G206" s="31"/>
      <c r="H206" s="17">
        <v>236904.76</v>
      </c>
      <c r="I206" s="17">
        <v>274798.05</v>
      </c>
      <c r="J206" s="17">
        <v>248426.81</v>
      </c>
      <c r="K206" s="17">
        <v>198842.98</v>
      </c>
      <c r="L206" s="17">
        <v>203351.32</v>
      </c>
      <c r="M206" s="17">
        <v>250366.42</v>
      </c>
      <c r="N206" s="17">
        <v>243342.8</v>
      </c>
      <c r="O206" s="17">
        <v>180818.48</v>
      </c>
    </row>
    <row r="207" spans="2:15" ht="15" customHeight="1">
      <c r="B207" s="596" t="s">
        <v>395</v>
      </c>
      <c r="C207" s="596"/>
      <c r="D207" s="31"/>
      <c r="E207" s="31"/>
      <c r="F207" s="31"/>
      <c r="G207" s="31"/>
      <c r="H207" s="17">
        <f>502661.83-8000</f>
        <v>494661.83</v>
      </c>
      <c r="I207" s="17">
        <v>480006.58</v>
      </c>
      <c r="J207" s="17">
        <v>312561.54</v>
      </c>
      <c r="K207" s="17">
        <v>501129.11</v>
      </c>
      <c r="L207" s="17">
        <v>388853.26</v>
      </c>
      <c r="M207" s="17">
        <v>1418170.83</v>
      </c>
      <c r="N207" s="17">
        <v>448986.18</v>
      </c>
      <c r="O207" s="17">
        <v>427974.82</v>
      </c>
    </row>
    <row r="208" spans="2:15" ht="18.75">
      <c r="B208" s="596" t="s">
        <v>396</v>
      </c>
      <c r="C208" s="596"/>
      <c r="D208" s="31"/>
      <c r="E208" s="31"/>
      <c r="F208" s="31"/>
      <c r="G208" s="31"/>
      <c r="H208" s="17"/>
      <c r="I208" s="17">
        <v>172984.54</v>
      </c>
      <c r="J208" s="17">
        <v>50211.45</v>
      </c>
      <c r="K208" s="17">
        <v>82831.22</v>
      </c>
      <c r="L208" s="17">
        <v>10089.75</v>
      </c>
      <c r="M208" s="17"/>
      <c r="N208" s="17"/>
      <c r="O208" s="17"/>
    </row>
    <row r="209" spans="2:15" ht="18.75" hidden="1">
      <c r="B209" s="596" t="s">
        <v>397</v>
      </c>
      <c r="C209" s="596"/>
      <c r="D209" s="31"/>
      <c r="E209" s="31"/>
      <c r="F209" s="31"/>
      <c r="G209" s="31"/>
      <c r="H209" s="17"/>
      <c r="I209" s="17"/>
      <c r="J209" s="17"/>
      <c r="K209" s="17"/>
      <c r="L209" s="17"/>
      <c r="M209" s="17"/>
      <c r="N209" s="17"/>
      <c r="O209" s="17"/>
    </row>
    <row r="210" spans="2:15" ht="18.75">
      <c r="B210" s="596" t="s">
        <v>398</v>
      </c>
      <c r="C210" s="596"/>
      <c r="D210" s="31"/>
      <c r="E210" s="31"/>
      <c r="F210" s="31"/>
      <c r="G210" s="31"/>
      <c r="H210" s="17">
        <v>15103.84</v>
      </c>
      <c r="I210" s="17">
        <v>6008.27</v>
      </c>
      <c r="J210" s="17">
        <v>15723.13</v>
      </c>
      <c r="K210" s="17">
        <v>44460.83</v>
      </c>
      <c r="L210" s="17">
        <v>9793.8</v>
      </c>
      <c r="M210" s="17">
        <v>66845.29</v>
      </c>
      <c r="N210" s="17">
        <v>90106.2</v>
      </c>
      <c r="O210" s="17">
        <v>73065.4</v>
      </c>
    </row>
    <row r="211" spans="2:15" ht="18.75">
      <c r="B211" s="596" t="s">
        <v>524</v>
      </c>
      <c r="C211" s="596"/>
      <c r="D211" s="31"/>
      <c r="E211" s="31"/>
      <c r="F211" s="31"/>
      <c r="G211" s="31"/>
      <c r="H211" s="17">
        <v>448195.75</v>
      </c>
      <c r="I211" s="17">
        <v>203193.29</v>
      </c>
      <c r="J211" s="17">
        <v>292895.77</v>
      </c>
      <c r="K211" s="17">
        <v>571580.44</v>
      </c>
      <c r="L211" s="17">
        <v>686387.84</v>
      </c>
      <c r="M211" s="17">
        <v>289865.14</v>
      </c>
      <c r="N211" s="17">
        <v>288713.5</v>
      </c>
      <c r="O211" s="17">
        <v>308438.47</v>
      </c>
    </row>
    <row r="212" spans="2:15" ht="18.75">
      <c r="B212" s="596" t="s">
        <v>584</v>
      </c>
      <c r="C212" s="596"/>
      <c r="D212" s="31"/>
      <c r="E212" s="31"/>
      <c r="F212" s="31"/>
      <c r="G212" s="31"/>
      <c r="H212" s="17">
        <v>2640815.61</v>
      </c>
      <c r="I212" s="17">
        <v>3102652.04</v>
      </c>
      <c r="J212" s="17">
        <v>2168710.74</v>
      </c>
      <c r="K212" s="17">
        <v>3159275.9</v>
      </c>
      <c r="L212" s="17">
        <v>3651882.03</v>
      </c>
      <c r="M212" s="17">
        <v>1430721.86</v>
      </c>
      <c r="N212" s="17">
        <v>2626648.48</v>
      </c>
      <c r="O212" s="17">
        <v>2031745.4</v>
      </c>
    </row>
    <row r="213" spans="2:15" ht="18.75" hidden="1">
      <c r="B213" s="596" t="s">
        <v>399</v>
      </c>
      <c r="C213" s="596"/>
      <c r="D213" s="31"/>
      <c r="E213" s="31"/>
      <c r="F213" s="31"/>
      <c r="G213" s="31"/>
      <c r="H213" s="17"/>
      <c r="I213" s="17"/>
      <c r="J213" s="17"/>
      <c r="K213" s="17">
        <v>3199.08</v>
      </c>
      <c r="L213" s="17"/>
      <c r="M213" s="17"/>
      <c r="N213" s="17"/>
      <c r="O213" s="17">
        <v>248885.46</v>
      </c>
    </row>
    <row r="214" spans="2:15" ht="18.75">
      <c r="B214" s="596" t="s">
        <v>400</v>
      </c>
      <c r="C214" s="596"/>
      <c r="D214" s="31"/>
      <c r="E214" s="31"/>
      <c r="F214" s="31"/>
      <c r="G214" s="31"/>
      <c r="H214" s="17">
        <v>25000</v>
      </c>
      <c r="I214" s="17">
        <v>10620</v>
      </c>
      <c r="J214" s="17">
        <v>289165.59</v>
      </c>
      <c r="K214" s="17">
        <v>3015.9</v>
      </c>
      <c r="L214" s="17"/>
      <c r="M214" s="17"/>
      <c r="N214" s="17"/>
      <c r="O214" s="17"/>
    </row>
    <row r="215" spans="2:16" ht="18.75" hidden="1">
      <c r="B215" s="611" t="s">
        <v>525</v>
      </c>
      <c r="C215" s="611"/>
      <c r="D215" s="31"/>
      <c r="E215" s="31"/>
      <c r="F215" s="31"/>
      <c r="G215" s="31"/>
      <c r="H215" s="17"/>
      <c r="I215" s="17"/>
      <c r="J215" s="17">
        <v>294000</v>
      </c>
      <c r="K215" s="17">
        <v>3016000</v>
      </c>
      <c r="L215" s="17">
        <v>2023000</v>
      </c>
      <c r="M215" s="17"/>
      <c r="N215" s="17">
        <v>1679000</v>
      </c>
      <c r="O215" s="17">
        <v>1286000</v>
      </c>
      <c r="P215" s="17">
        <f>+K215-L215</f>
        <v>993000</v>
      </c>
    </row>
    <row r="216" spans="2:15" ht="18.75">
      <c r="B216" s="596" t="s">
        <v>687</v>
      </c>
      <c r="C216" s="596"/>
      <c r="D216" s="31"/>
      <c r="E216" s="31"/>
      <c r="F216" s="31"/>
      <c r="G216" s="31"/>
      <c r="H216" s="17">
        <v>250000</v>
      </c>
      <c r="I216" s="17">
        <v>150000</v>
      </c>
      <c r="J216" s="17">
        <v>150000</v>
      </c>
      <c r="K216" s="17">
        <v>150000</v>
      </c>
      <c r="L216" s="17">
        <v>150000</v>
      </c>
      <c r="M216" s="17"/>
      <c r="N216" s="17">
        <v>150000</v>
      </c>
      <c r="O216" s="17"/>
    </row>
    <row r="217" spans="2:15" ht="15" hidden="1">
      <c r="B217" s="31"/>
      <c r="C217" s="31"/>
      <c r="D217" s="31"/>
      <c r="E217" s="31"/>
      <c r="F217" s="31"/>
      <c r="G217" s="31"/>
      <c r="H217" s="17"/>
      <c r="I217" s="17"/>
      <c r="J217" s="17"/>
      <c r="K217" s="31"/>
      <c r="L217" s="17"/>
      <c r="M217" s="17"/>
      <c r="N217" s="17"/>
      <c r="O217" s="17"/>
    </row>
    <row r="218" spans="2:15" ht="15" hidden="1">
      <c r="B218" s="31"/>
      <c r="C218" s="31"/>
      <c r="D218" s="31"/>
      <c r="E218" s="31"/>
      <c r="F218" s="31"/>
      <c r="G218" s="31"/>
      <c r="H218" s="17"/>
      <c r="I218" s="17"/>
      <c r="J218" s="17"/>
      <c r="K218" s="31"/>
      <c r="L218" s="17"/>
      <c r="M218" s="17"/>
      <c r="N218" s="17"/>
      <c r="O218" s="17"/>
    </row>
    <row r="219" spans="2:15" ht="15" hidden="1">
      <c r="B219" s="31" t="s">
        <v>400</v>
      </c>
      <c r="C219" s="31"/>
      <c r="D219" s="31"/>
      <c r="E219" s="31"/>
      <c r="F219" s="31"/>
      <c r="G219" s="31"/>
      <c r="H219" s="17"/>
      <c r="I219" s="17"/>
      <c r="J219" s="17"/>
      <c r="K219" s="31"/>
      <c r="L219" s="17"/>
      <c r="M219" s="17">
        <v>5100</v>
      </c>
      <c r="N219" s="17"/>
      <c r="O219" s="35">
        <v>5438.97</v>
      </c>
    </row>
    <row r="220" spans="2:15" ht="15" hidden="1">
      <c r="B220" s="31"/>
      <c r="C220" s="31"/>
      <c r="D220" s="31"/>
      <c r="E220" s="31"/>
      <c r="F220" s="31"/>
      <c r="G220" s="31"/>
      <c r="H220" s="17"/>
      <c r="I220" s="17"/>
      <c r="J220" s="17"/>
      <c r="K220" s="31"/>
      <c r="L220" s="17"/>
      <c r="M220" s="17"/>
      <c r="N220" s="17"/>
      <c r="O220" s="17"/>
    </row>
    <row r="221" spans="2:15" ht="15" hidden="1">
      <c r="B221" s="31" t="s">
        <v>613</v>
      </c>
      <c r="C221" s="31"/>
      <c r="D221" s="31"/>
      <c r="E221" s="31"/>
      <c r="F221" s="31"/>
      <c r="G221" s="31"/>
      <c r="H221" s="17"/>
      <c r="I221" s="17"/>
      <c r="J221" s="17">
        <v>2700</v>
      </c>
      <c r="K221" s="17">
        <v>6000</v>
      </c>
      <c r="L221" s="17"/>
      <c r="M221" s="17"/>
      <c r="N221" s="17"/>
      <c r="O221" s="17"/>
    </row>
    <row r="222" spans="2:15" ht="16.5" thickBot="1">
      <c r="B222" s="399" t="s">
        <v>304</v>
      </c>
      <c r="C222" s="400"/>
      <c r="D222" s="400"/>
      <c r="E222" s="400"/>
      <c r="F222" s="400"/>
      <c r="G222" s="400"/>
      <c r="H222" s="512">
        <f>SUM(H167:H221)</f>
        <v>29367212.619999994</v>
      </c>
      <c r="I222" s="83">
        <f>SUM(I167:I221)</f>
        <v>27236509.940000005</v>
      </c>
      <c r="J222" s="83">
        <f>SUM(J167:J221)</f>
        <v>22049692.330000002</v>
      </c>
      <c r="K222" s="83">
        <f>SUM(K167:K221)</f>
        <v>32420664.50999999</v>
      </c>
      <c r="L222" s="83">
        <f>SUM(L167:L216)</f>
        <v>29054319.070000004</v>
      </c>
      <c r="M222" s="38">
        <f>SUM(M167:M220)</f>
        <v>25434729.67</v>
      </c>
      <c r="N222" s="83">
        <f>SUM(N167:N219)</f>
        <v>28124847.32</v>
      </c>
      <c r="O222" s="59">
        <f>SUM(O167:O219)</f>
        <v>26596069.56999999</v>
      </c>
    </row>
    <row r="223" spans="2:14" ht="15.75" hidden="1" thickTop="1">
      <c r="B223" s="31"/>
      <c r="C223" s="31"/>
      <c r="D223" s="31"/>
      <c r="E223" s="31"/>
      <c r="F223" s="31"/>
      <c r="G223" s="31"/>
      <c r="H223" s="31"/>
      <c r="I223" s="31"/>
      <c r="J223" s="31"/>
      <c r="K223" s="31"/>
      <c r="L223" s="31"/>
      <c r="M223" s="17"/>
      <c r="N223" s="17"/>
    </row>
    <row r="224" spans="2:14" ht="15.75" hidden="1" thickTop="1">
      <c r="B224" s="31"/>
      <c r="C224" s="31"/>
      <c r="D224" s="31"/>
      <c r="E224" s="31"/>
      <c r="F224" s="31"/>
      <c r="G224" s="31"/>
      <c r="H224" s="31"/>
      <c r="I224" s="31"/>
      <c r="J224" s="31"/>
      <c r="K224" s="31"/>
      <c r="L224" s="31"/>
      <c r="M224" s="17"/>
      <c r="N224" s="17"/>
    </row>
    <row r="225" spans="2:14" ht="15.75" hidden="1" thickTop="1">
      <c r="B225" s="31"/>
      <c r="C225" s="31"/>
      <c r="D225" s="31"/>
      <c r="E225" s="31"/>
      <c r="F225" s="31"/>
      <c r="G225" s="31"/>
      <c r="H225" s="31"/>
      <c r="I225" s="31"/>
      <c r="J225" s="31"/>
      <c r="K225" s="31"/>
      <c r="L225" s="31"/>
      <c r="M225" s="17"/>
      <c r="N225" s="17"/>
    </row>
    <row r="226" spans="2:14" ht="19.5" hidden="1" thickTop="1">
      <c r="B226" s="31"/>
      <c r="C226" s="31"/>
      <c r="D226" s="31"/>
      <c r="E226" s="31"/>
      <c r="F226" s="31"/>
      <c r="G226" s="31"/>
      <c r="H226" s="31"/>
      <c r="I226" s="31"/>
      <c r="J226" s="31"/>
      <c r="K226" s="31"/>
      <c r="L226" s="31"/>
      <c r="M226" s="32" t="s">
        <v>504</v>
      </c>
      <c r="N226" s="32"/>
    </row>
    <row r="227" spans="2:14" ht="19.5" hidden="1" thickTop="1">
      <c r="B227" s="34" t="s">
        <v>401</v>
      </c>
      <c r="C227" s="31"/>
      <c r="D227" s="31"/>
      <c r="E227" s="31"/>
      <c r="F227" s="31"/>
      <c r="G227" s="31"/>
      <c r="H227" s="31"/>
      <c r="I227" s="31"/>
      <c r="J227" s="31"/>
      <c r="K227" s="31"/>
      <c r="L227" s="31"/>
      <c r="M227" s="17"/>
      <c r="N227" s="17"/>
    </row>
    <row r="228" spans="2:14" ht="15.75" hidden="1" thickTop="1">
      <c r="B228" s="31" t="s">
        <v>402</v>
      </c>
      <c r="C228" s="31"/>
      <c r="D228" s="31"/>
      <c r="E228" s="31"/>
      <c r="F228" s="31"/>
      <c r="G228" s="31"/>
      <c r="H228" s="31"/>
      <c r="I228" s="31"/>
      <c r="J228" s="31"/>
      <c r="K228" s="31"/>
      <c r="L228" s="31"/>
      <c r="M228" s="17"/>
      <c r="N228" s="17"/>
    </row>
    <row r="229" spans="2:14" ht="15.75" hidden="1" thickTop="1">
      <c r="B229" s="31" t="s">
        <v>403</v>
      </c>
      <c r="C229" s="31"/>
      <c r="D229" s="31"/>
      <c r="E229" s="31"/>
      <c r="F229" s="31"/>
      <c r="G229" s="31"/>
      <c r="H229" s="31"/>
      <c r="I229" s="31"/>
      <c r="J229" s="31"/>
      <c r="K229" s="31"/>
      <c r="L229" s="31"/>
      <c r="M229" s="17"/>
      <c r="N229" s="17"/>
    </row>
    <row r="230" spans="2:14" ht="15.75" hidden="1" thickTop="1">
      <c r="B230" s="31" t="s">
        <v>404</v>
      </c>
      <c r="C230" s="31"/>
      <c r="D230" s="31"/>
      <c r="E230" s="31"/>
      <c r="F230" s="31"/>
      <c r="G230" s="31"/>
      <c r="H230" s="31"/>
      <c r="I230" s="31"/>
      <c r="J230" s="31"/>
      <c r="K230" s="31"/>
      <c r="L230" s="31"/>
      <c r="M230" s="17"/>
      <c r="N230" s="17"/>
    </row>
    <row r="231" spans="2:14" ht="15.75" hidden="1" thickTop="1">
      <c r="B231" s="31" t="s">
        <v>405</v>
      </c>
      <c r="C231" s="31"/>
      <c r="D231" s="31"/>
      <c r="E231" s="31"/>
      <c r="F231" s="31"/>
      <c r="G231" s="31"/>
      <c r="H231" s="31"/>
      <c r="I231" s="31"/>
      <c r="J231" s="31"/>
      <c r="K231" s="31"/>
      <c r="L231" s="31"/>
      <c r="M231" s="17"/>
      <c r="N231" s="17"/>
    </row>
    <row r="232" spans="2:14" ht="15.75" hidden="1" thickTop="1">
      <c r="B232" s="31" t="s">
        <v>406</v>
      </c>
      <c r="C232" s="31"/>
      <c r="D232" s="31"/>
      <c r="E232" s="31"/>
      <c r="F232" s="31"/>
      <c r="G232" s="31"/>
      <c r="H232" s="31"/>
      <c r="I232" s="31"/>
      <c r="J232" s="31"/>
      <c r="K232" s="31"/>
      <c r="L232" s="31"/>
      <c r="M232" s="17"/>
      <c r="N232" s="17"/>
    </row>
    <row r="233" spans="2:14" ht="15.75" hidden="1" thickTop="1">
      <c r="B233" s="31" t="s">
        <v>407</v>
      </c>
      <c r="C233" s="31"/>
      <c r="D233" s="31"/>
      <c r="E233" s="31"/>
      <c r="F233" s="31"/>
      <c r="G233" s="31"/>
      <c r="H233" s="31"/>
      <c r="I233" s="31"/>
      <c r="J233" s="31"/>
      <c r="K233" s="31"/>
      <c r="L233" s="31"/>
      <c r="M233" s="17"/>
      <c r="N233" s="17"/>
    </row>
    <row r="234" spans="2:14" ht="15.75" hidden="1" thickTop="1">
      <c r="B234" s="31" t="s">
        <v>408</v>
      </c>
      <c r="C234" s="31"/>
      <c r="D234" s="31"/>
      <c r="E234" s="31"/>
      <c r="F234" s="31"/>
      <c r="G234" s="31"/>
      <c r="H234" s="31"/>
      <c r="I234" s="31"/>
      <c r="J234" s="31"/>
      <c r="K234" s="31"/>
      <c r="L234" s="31"/>
      <c r="M234" s="17"/>
      <c r="N234" s="17"/>
    </row>
    <row r="235" spans="2:14" ht="15.75" hidden="1" thickTop="1">
      <c r="B235" s="31" t="s">
        <v>409</v>
      </c>
      <c r="C235" s="31"/>
      <c r="D235" s="31"/>
      <c r="E235" s="31"/>
      <c r="F235" s="31"/>
      <c r="G235" s="31"/>
      <c r="H235" s="31"/>
      <c r="I235" s="31"/>
      <c r="J235" s="31"/>
      <c r="K235" s="31"/>
      <c r="L235" s="31"/>
      <c r="M235" s="17"/>
      <c r="N235" s="17"/>
    </row>
    <row r="236" spans="2:14" ht="15.75" hidden="1" thickTop="1">
      <c r="B236" s="31" t="s">
        <v>410</v>
      </c>
      <c r="C236" s="31"/>
      <c r="D236" s="31"/>
      <c r="E236" s="31"/>
      <c r="F236" s="31"/>
      <c r="G236" s="31"/>
      <c r="H236" s="31"/>
      <c r="I236" s="31"/>
      <c r="J236" s="31"/>
      <c r="K236" s="31"/>
      <c r="L236" s="31"/>
      <c r="M236" s="17"/>
      <c r="N236" s="17"/>
    </row>
    <row r="237" spans="2:14" ht="15.75" hidden="1" thickTop="1">
      <c r="B237" s="31" t="s">
        <v>411</v>
      </c>
      <c r="C237" s="31"/>
      <c r="D237" s="31"/>
      <c r="E237" s="31"/>
      <c r="F237" s="31"/>
      <c r="G237" s="31"/>
      <c r="H237" s="31"/>
      <c r="I237" s="31"/>
      <c r="J237" s="31"/>
      <c r="K237" s="31"/>
      <c r="L237" s="31"/>
      <c r="M237" s="17"/>
      <c r="N237" s="17"/>
    </row>
    <row r="238" spans="2:14" ht="15.75" hidden="1" thickTop="1">
      <c r="B238" s="31" t="s">
        <v>412</v>
      </c>
      <c r="C238" s="31"/>
      <c r="D238" s="31"/>
      <c r="E238" s="31"/>
      <c r="F238" s="31"/>
      <c r="G238" s="31"/>
      <c r="H238" s="31"/>
      <c r="I238" s="31"/>
      <c r="J238" s="31"/>
      <c r="K238" s="31"/>
      <c r="L238" s="31"/>
      <c r="M238" s="17"/>
      <c r="N238" s="17"/>
    </row>
    <row r="239" spans="2:14" ht="15.75" hidden="1" thickTop="1">
      <c r="B239" s="31" t="s">
        <v>413</v>
      </c>
      <c r="C239" s="31"/>
      <c r="D239" s="31"/>
      <c r="E239" s="31"/>
      <c r="F239" s="31"/>
      <c r="G239" s="31"/>
      <c r="H239" s="31"/>
      <c r="I239" s="31"/>
      <c r="J239" s="31"/>
      <c r="K239" s="31"/>
      <c r="L239" s="31"/>
      <c r="M239" s="17"/>
      <c r="N239" s="17"/>
    </row>
    <row r="240" spans="2:14" ht="15.75" hidden="1" thickTop="1">
      <c r="B240" s="31"/>
      <c r="C240" s="31"/>
      <c r="D240" s="31"/>
      <c r="E240" s="31"/>
      <c r="F240" s="31"/>
      <c r="G240" s="31"/>
      <c r="H240" s="31"/>
      <c r="I240" s="31"/>
      <c r="J240" s="31"/>
      <c r="K240" s="31"/>
      <c r="L240" s="31"/>
      <c r="M240" s="17"/>
      <c r="N240" s="17"/>
    </row>
    <row r="241" spans="2:14" ht="15.75" hidden="1" thickTop="1">
      <c r="B241" s="31"/>
      <c r="C241" s="31"/>
      <c r="D241" s="31"/>
      <c r="E241" s="31"/>
      <c r="F241" s="31"/>
      <c r="G241" s="31"/>
      <c r="H241" s="31"/>
      <c r="I241" s="31"/>
      <c r="J241" s="31"/>
      <c r="K241" s="31"/>
      <c r="L241" s="31"/>
      <c r="M241" s="17"/>
      <c r="N241" s="17"/>
    </row>
    <row r="242" spans="2:14" ht="15.75" hidden="1" thickTop="1">
      <c r="B242" s="31"/>
      <c r="C242" s="31"/>
      <c r="D242" s="31"/>
      <c r="E242" s="31"/>
      <c r="F242" s="31"/>
      <c r="G242" s="31"/>
      <c r="H242" s="31"/>
      <c r="I242" s="31"/>
      <c r="J242" s="31"/>
      <c r="K242" s="31"/>
      <c r="L242" s="31"/>
      <c r="M242" s="17"/>
      <c r="N242" s="17"/>
    </row>
    <row r="243" spans="2:14" ht="15.75" thickTop="1">
      <c r="B243" s="31"/>
      <c r="C243" s="31"/>
      <c r="D243" s="31"/>
      <c r="E243" s="31"/>
      <c r="F243" s="31"/>
      <c r="G243" s="31"/>
      <c r="H243" s="31"/>
      <c r="I243" s="31"/>
      <c r="J243" s="31"/>
      <c r="K243" s="31"/>
      <c r="L243" s="31"/>
      <c r="M243" s="17"/>
      <c r="N243" s="17"/>
    </row>
    <row r="244" spans="2:14" ht="20.25">
      <c r="B244" s="599" t="s">
        <v>1000</v>
      </c>
      <c r="C244" s="31"/>
      <c r="D244" s="31"/>
      <c r="E244" s="31"/>
      <c r="F244" s="31"/>
      <c r="G244" s="31"/>
      <c r="H244" s="31"/>
      <c r="I244" s="31"/>
      <c r="J244" s="31"/>
      <c r="K244" s="31"/>
      <c r="L244" s="31"/>
      <c r="M244" s="17"/>
      <c r="N244" s="17"/>
    </row>
    <row r="245" spans="1:15" ht="18.75">
      <c r="A245" s="515"/>
      <c r="B245" s="400"/>
      <c r="C245" s="400"/>
      <c r="D245" s="400"/>
      <c r="E245" s="400"/>
      <c r="F245" s="400"/>
      <c r="G245" s="400"/>
      <c r="H245" s="538" t="s">
        <v>504</v>
      </c>
      <c r="I245" s="538" t="s">
        <v>504</v>
      </c>
      <c r="J245" s="61" t="s">
        <v>504</v>
      </c>
      <c r="K245" s="61" t="s">
        <v>504</v>
      </c>
      <c r="L245" s="610" t="s">
        <v>534</v>
      </c>
      <c r="M245" s="610"/>
      <c r="N245" s="609" t="s">
        <v>534</v>
      </c>
      <c r="O245" s="609"/>
    </row>
    <row r="246" spans="1:15" ht="20.25">
      <c r="A246" s="515"/>
      <c r="B246" s="603" t="s">
        <v>414</v>
      </c>
      <c r="C246" s="400"/>
      <c r="D246" s="400"/>
      <c r="E246" s="400"/>
      <c r="F246" s="400"/>
      <c r="G246" s="400"/>
      <c r="H246" s="510">
        <v>2022</v>
      </c>
      <c r="I246" s="510">
        <v>2021</v>
      </c>
      <c r="J246" s="32">
        <v>2020</v>
      </c>
      <c r="K246" s="32">
        <v>2019</v>
      </c>
      <c r="L246" s="32">
        <v>2018</v>
      </c>
      <c r="M246" s="32"/>
      <c r="N246" s="60">
        <v>2017</v>
      </c>
      <c r="O246" s="60">
        <v>2016</v>
      </c>
    </row>
    <row r="247" spans="2:15" ht="18.75">
      <c r="B247" s="596" t="s">
        <v>415</v>
      </c>
      <c r="C247" s="31"/>
      <c r="D247" s="31"/>
      <c r="E247" s="31"/>
      <c r="F247" s="31"/>
      <c r="G247" s="31"/>
      <c r="H247" s="17">
        <v>334590.05</v>
      </c>
      <c r="I247" s="17">
        <v>259178.4</v>
      </c>
      <c r="J247" s="17">
        <v>413715.5</v>
      </c>
      <c r="K247" s="17">
        <f>1021070.77+595559.35</f>
        <v>1616630.12</v>
      </c>
      <c r="L247" s="17">
        <f>1242000+11000</f>
        <v>1253000</v>
      </c>
      <c r="M247" s="17">
        <v>226755.6</v>
      </c>
      <c r="N247" s="17">
        <v>849641.08</v>
      </c>
      <c r="O247" s="17">
        <v>1463805.81</v>
      </c>
    </row>
    <row r="248" spans="2:15" ht="18.75">
      <c r="B248" s="596" t="s">
        <v>416</v>
      </c>
      <c r="C248" s="31"/>
      <c r="D248" s="31"/>
      <c r="E248" s="31"/>
      <c r="F248" s="31"/>
      <c r="G248" s="31"/>
      <c r="H248" s="17"/>
      <c r="I248" s="17">
        <v>155000</v>
      </c>
      <c r="J248" s="17">
        <v>70000</v>
      </c>
      <c r="K248" s="17">
        <v>573660</v>
      </c>
      <c r="L248" s="17">
        <v>1098045.5</v>
      </c>
      <c r="M248" s="17">
        <v>525457.25</v>
      </c>
      <c r="N248" s="17">
        <v>857000</v>
      </c>
      <c r="O248" s="17">
        <v>355000</v>
      </c>
    </row>
    <row r="249" spans="2:51" s="4" customFormat="1" ht="18.75">
      <c r="B249" s="596" t="s">
        <v>886</v>
      </c>
      <c r="C249" s="31"/>
      <c r="D249" s="31"/>
      <c r="E249" s="31"/>
      <c r="F249" s="31"/>
      <c r="G249" s="31"/>
      <c r="H249" s="17">
        <v>407500</v>
      </c>
      <c r="I249" s="17"/>
      <c r="J249" s="17"/>
      <c r="K249" s="17"/>
      <c r="L249" s="17"/>
      <c r="M249" s="17"/>
      <c r="N249" s="17"/>
      <c r="O249" s="17"/>
      <c r="Q249" s="173"/>
      <c r="R249" s="173"/>
      <c r="S249" s="173"/>
      <c r="T249" s="173"/>
      <c r="U249" s="173"/>
      <c r="V249" s="173"/>
      <c r="W249" s="173"/>
      <c r="X249" s="173"/>
      <c r="Y249" s="173"/>
      <c r="Z249" s="173"/>
      <c r="AA249" s="173"/>
      <c r="AB249" s="173"/>
      <c r="AC249" s="173"/>
      <c r="AD249" s="173"/>
      <c r="AE249" s="173"/>
      <c r="AF249" s="173"/>
      <c r="AG249" s="173"/>
      <c r="AH249" s="173"/>
      <c r="AI249" s="173"/>
      <c r="AJ249" s="173"/>
      <c r="AK249" s="173"/>
      <c r="AL249" s="173"/>
      <c r="AM249" s="173"/>
      <c r="AN249" s="173"/>
      <c r="AO249" s="173"/>
      <c r="AP249" s="173"/>
      <c r="AQ249" s="173"/>
      <c r="AR249" s="173"/>
      <c r="AS249" s="173"/>
      <c r="AT249" s="173"/>
      <c r="AU249" s="172"/>
      <c r="AV249" s="172"/>
      <c r="AW249" s="172"/>
      <c r="AX249" s="172"/>
      <c r="AY249" s="172"/>
    </row>
    <row r="250" spans="2:15" ht="18.75" hidden="1">
      <c r="B250" s="596" t="s">
        <v>417</v>
      </c>
      <c r="C250" s="31"/>
      <c r="D250" s="31"/>
      <c r="E250" s="31"/>
      <c r="F250" s="31"/>
      <c r="G250" s="31"/>
      <c r="H250" s="17"/>
      <c r="I250" s="17"/>
      <c r="J250" s="17">
        <v>320000</v>
      </c>
      <c r="K250" s="17"/>
      <c r="L250" s="17">
        <v>20000</v>
      </c>
      <c r="M250" s="17"/>
      <c r="N250" s="17"/>
      <c r="O250" s="17"/>
    </row>
    <row r="251" spans="2:15" ht="18.75">
      <c r="B251" s="596" t="s">
        <v>427</v>
      </c>
      <c r="C251" s="31"/>
      <c r="D251" s="31"/>
      <c r="E251" s="31"/>
      <c r="F251" s="31"/>
      <c r="G251" s="31"/>
      <c r="H251" s="13">
        <v>1762.51</v>
      </c>
      <c r="I251" s="13"/>
      <c r="J251" s="13">
        <v>622.05</v>
      </c>
      <c r="K251" s="35"/>
      <c r="L251" s="35">
        <v>15704.63</v>
      </c>
      <c r="M251" s="17">
        <v>2475000</v>
      </c>
      <c r="N251" s="17"/>
      <c r="O251" s="17">
        <v>2700000</v>
      </c>
    </row>
    <row r="252" spans="2:15" ht="18.75">
      <c r="B252" s="596" t="s">
        <v>418</v>
      </c>
      <c r="C252" s="31"/>
      <c r="D252" s="31"/>
      <c r="E252" s="31"/>
      <c r="F252" s="31"/>
      <c r="G252" s="31"/>
      <c r="H252" s="35">
        <v>8020</v>
      </c>
      <c r="I252" s="35"/>
      <c r="J252" s="35"/>
      <c r="K252" s="94"/>
      <c r="L252" s="35"/>
      <c r="M252" s="35">
        <v>121000</v>
      </c>
      <c r="N252" s="35">
        <v>13500</v>
      </c>
      <c r="O252" s="35">
        <v>529473.22</v>
      </c>
    </row>
    <row r="253" spans="2:15" ht="17.25" customHeight="1" thickBot="1">
      <c r="B253" s="31"/>
      <c r="C253" s="31"/>
      <c r="D253" s="31"/>
      <c r="E253" s="31"/>
      <c r="F253" s="31"/>
      <c r="G253" s="31"/>
      <c r="H253" s="86">
        <f>SUM(H247:H252)</f>
        <v>751872.56</v>
      </c>
      <c r="I253" s="86">
        <f>SUM(I247:I251)</f>
        <v>414178.4</v>
      </c>
      <c r="J253" s="86">
        <f>SUM(J247:J251)</f>
        <v>804337.55</v>
      </c>
      <c r="K253" s="86">
        <f>SUM(K247:K252)</f>
        <v>2190290.12</v>
      </c>
      <c r="L253" s="86">
        <f>SUM(L247:L252)</f>
        <v>2386750.13</v>
      </c>
      <c r="M253" s="86">
        <f>SUM(M247:M252)</f>
        <v>3348212.85</v>
      </c>
      <c r="N253" s="86">
        <f>SUM(N247:N252)</f>
        <v>1720141.08</v>
      </c>
      <c r="O253" s="46">
        <f>SUM(O247:O252)</f>
        <v>5048279.03</v>
      </c>
    </row>
    <row r="254" spans="2:14" ht="15.75" thickTop="1">
      <c r="B254" s="31"/>
      <c r="C254" s="31"/>
      <c r="D254" s="31"/>
      <c r="E254" s="31"/>
      <c r="F254" s="31"/>
      <c r="G254" s="31"/>
      <c r="H254" s="31"/>
      <c r="I254" s="31"/>
      <c r="J254" s="31"/>
      <c r="K254" s="31"/>
      <c r="L254" s="31"/>
      <c r="M254" s="17"/>
      <c r="N254" s="17"/>
    </row>
    <row r="255" spans="2:14" ht="15" hidden="1">
      <c r="B255" s="31"/>
      <c r="C255" s="31"/>
      <c r="D255" s="31"/>
      <c r="E255" s="31"/>
      <c r="F255" s="31"/>
      <c r="G255" s="31"/>
      <c r="H255" s="31"/>
      <c r="I255" s="31"/>
      <c r="J255" s="31"/>
      <c r="K255" s="31"/>
      <c r="L255" s="31"/>
      <c r="M255" s="17"/>
      <c r="N255" s="17"/>
    </row>
    <row r="256" spans="2:14" ht="15" hidden="1">
      <c r="B256" s="31"/>
      <c r="C256" s="31"/>
      <c r="D256" s="31"/>
      <c r="E256" s="31"/>
      <c r="F256" s="31"/>
      <c r="G256" s="31"/>
      <c r="H256" s="31"/>
      <c r="I256" s="31"/>
      <c r="J256" s="31"/>
      <c r="K256" s="31"/>
      <c r="L256" s="31"/>
      <c r="M256" s="17"/>
      <c r="N256" s="17"/>
    </row>
    <row r="257" spans="2:14" ht="18.75" hidden="1">
      <c r="B257" s="34" t="s">
        <v>419</v>
      </c>
      <c r="C257" s="31"/>
      <c r="D257" s="31"/>
      <c r="E257" s="31"/>
      <c r="F257" s="31"/>
      <c r="G257" s="31"/>
      <c r="H257" s="31"/>
      <c r="I257" s="31"/>
      <c r="J257" s="31"/>
      <c r="K257" s="31"/>
      <c r="L257" s="31"/>
      <c r="M257" s="17"/>
      <c r="N257" s="17"/>
    </row>
    <row r="258" spans="2:14" ht="15" hidden="1">
      <c r="B258" s="31" t="s">
        <v>415</v>
      </c>
      <c r="C258" s="31"/>
      <c r="D258" s="31"/>
      <c r="E258" s="31"/>
      <c r="F258" s="31"/>
      <c r="G258" s="31"/>
      <c r="H258" s="31"/>
      <c r="I258" s="31"/>
      <c r="J258" s="31"/>
      <c r="K258" s="31"/>
      <c r="L258" s="31"/>
      <c r="M258" s="17"/>
      <c r="N258" s="17"/>
    </row>
    <row r="259" spans="2:14" ht="15" hidden="1">
      <c r="B259" s="31" t="s">
        <v>420</v>
      </c>
      <c r="C259" s="31"/>
      <c r="D259" s="31"/>
      <c r="E259" s="31"/>
      <c r="F259" s="31"/>
      <c r="G259" s="31"/>
      <c r="H259" s="31"/>
      <c r="I259" s="31"/>
      <c r="J259" s="31"/>
      <c r="K259" s="31"/>
      <c r="L259" s="31"/>
      <c r="M259" s="17"/>
      <c r="N259" s="17"/>
    </row>
    <row r="260" spans="2:14" ht="15" hidden="1">
      <c r="B260" s="31" t="s">
        <v>421</v>
      </c>
      <c r="C260" s="31"/>
      <c r="D260" s="31"/>
      <c r="E260" s="31"/>
      <c r="F260" s="31"/>
      <c r="G260" s="31"/>
      <c r="H260" s="31"/>
      <c r="I260" s="31"/>
      <c r="J260" s="31"/>
      <c r="K260" s="31"/>
      <c r="L260" s="31"/>
      <c r="M260" s="17"/>
      <c r="N260" s="17"/>
    </row>
    <row r="261" spans="2:14" ht="15" hidden="1">
      <c r="B261" s="31"/>
      <c r="C261" s="31"/>
      <c r="D261" s="31"/>
      <c r="E261" s="31"/>
      <c r="F261" s="31"/>
      <c r="G261" s="31"/>
      <c r="H261" s="31"/>
      <c r="I261" s="31"/>
      <c r="J261" s="31"/>
      <c r="K261" s="31"/>
      <c r="L261" s="31"/>
      <c r="M261" s="17"/>
      <c r="N261" s="17"/>
    </row>
    <row r="262" spans="1:14" ht="20.25">
      <c r="A262" s="515"/>
      <c r="B262" s="603" t="s">
        <v>422</v>
      </c>
      <c r="C262" s="400"/>
      <c r="D262" s="31"/>
      <c r="E262" s="31"/>
      <c r="F262" s="31"/>
      <c r="G262" s="31"/>
      <c r="H262" s="31"/>
      <c r="I262" s="31"/>
      <c r="J262" s="31"/>
      <c r="K262" s="31"/>
      <c r="L262" s="31"/>
      <c r="M262" s="17"/>
      <c r="N262" s="17"/>
    </row>
    <row r="263" spans="2:15" ht="15">
      <c r="B263" s="31" t="s">
        <v>423</v>
      </c>
      <c r="C263" s="31"/>
      <c r="D263" s="31"/>
      <c r="E263" s="31"/>
      <c r="F263" s="31"/>
      <c r="G263" s="31"/>
      <c r="H263" s="17">
        <v>522991.21</v>
      </c>
      <c r="I263" s="17">
        <v>539545.13</v>
      </c>
      <c r="J263" s="17">
        <v>629962.96</v>
      </c>
      <c r="K263" s="13">
        <v>0</v>
      </c>
      <c r="L263" s="13">
        <v>720343.9</v>
      </c>
      <c r="M263" s="17">
        <v>789788.05</v>
      </c>
      <c r="N263" s="17">
        <v>815572.5</v>
      </c>
      <c r="O263" s="17">
        <v>260989.82</v>
      </c>
    </row>
    <row r="264" spans="2:14" ht="15" hidden="1">
      <c r="B264" s="31" t="s">
        <v>424</v>
      </c>
      <c r="C264" s="31"/>
      <c r="D264" s="31"/>
      <c r="E264" s="31"/>
      <c r="F264" s="31"/>
      <c r="G264" s="31"/>
      <c r="H264" s="17"/>
      <c r="I264" s="31"/>
      <c r="J264" s="17"/>
      <c r="K264" s="13">
        <v>0</v>
      </c>
      <c r="L264" s="31"/>
      <c r="M264" s="17"/>
      <c r="N264" s="17"/>
    </row>
    <row r="265" spans="2:14" ht="15" hidden="1">
      <c r="B265" s="31" t="s">
        <v>425</v>
      </c>
      <c r="C265" s="31"/>
      <c r="D265" s="31"/>
      <c r="E265" s="31"/>
      <c r="F265" s="31"/>
      <c r="G265" s="31"/>
      <c r="H265" s="17"/>
      <c r="I265" s="31"/>
      <c r="J265" s="17"/>
      <c r="K265" s="31"/>
      <c r="L265" s="31"/>
      <c r="M265" s="17"/>
      <c r="N265" s="17"/>
    </row>
    <row r="266" spans="2:15" ht="15.75" thickBot="1">
      <c r="B266" s="31"/>
      <c r="C266" s="31"/>
      <c r="D266" s="31"/>
      <c r="E266" s="31"/>
      <c r="F266" s="31"/>
      <c r="G266" s="31"/>
      <c r="H266" s="83">
        <f aca="true" t="shared" si="0" ref="H266:O266">SUM(H263:H265)</f>
        <v>522991.21</v>
      </c>
      <c r="I266" s="83">
        <f t="shared" si="0"/>
        <v>539545.13</v>
      </c>
      <c r="J266" s="83">
        <f t="shared" si="0"/>
        <v>629962.96</v>
      </c>
      <c r="K266" s="83">
        <f t="shared" si="0"/>
        <v>0</v>
      </c>
      <c r="L266" s="83">
        <f t="shared" si="0"/>
        <v>720343.9</v>
      </c>
      <c r="M266" s="83">
        <f t="shared" si="0"/>
        <v>789788.05</v>
      </c>
      <c r="N266" s="83">
        <f t="shared" si="0"/>
        <v>815572.5</v>
      </c>
      <c r="O266" s="36">
        <f t="shared" si="0"/>
        <v>260989.82</v>
      </c>
    </row>
    <row r="267" spans="2:15" ht="15.75" thickTop="1">
      <c r="B267" s="31"/>
      <c r="C267" s="31"/>
      <c r="D267" s="31"/>
      <c r="E267" s="31"/>
      <c r="F267" s="31"/>
      <c r="G267" s="31"/>
      <c r="H267" s="17"/>
      <c r="I267" s="31"/>
      <c r="J267" s="31"/>
      <c r="K267" s="31"/>
      <c r="L267" s="84"/>
      <c r="M267" s="87"/>
      <c r="N267" s="87"/>
      <c r="O267" s="4"/>
    </row>
    <row r="268" spans="1:15" ht="15.75" thickBot="1">
      <c r="A268" s="8"/>
      <c r="B268" s="85" t="s">
        <v>576</v>
      </c>
      <c r="C268" s="85"/>
      <c r="D268" s="47"/>
      <c r="E268" s="47"/>
      <c r="F268" s="47"/>
      <c r="G268" s="47"/>
      <c r="H268" s="571">
        <f aca="true" t="shared" si="1" ref="H268:O268">+H253+H266</f>
        <v>1274863.77</v>
      </c>
      <c r="I268" s="42">
        <f t="shared" si="1"/>
        <v>953723.53</v>
      </c>
      <c r="J268" s="42">
        <f t="shared" si="1"/>
        <v>1434300.51</v>
      </c>
      <c r="K268" s="42">
        <f t="shared" si="1"/>
        <v>2190290.12</v>
      </c>
      <c r="L268" s="42">
        <f t="shared" si="1"/>
        <v>3107094.03</v>
      </c>
      <c r="M268" s="42">
        <f t="shared" si="1"/>
        <v>4138000.9000000004</v>
      </c>
      <c r="N268" s="42">
        <f t="shared" si="1"/>
        <v>2535713.58</v>
      </c>
      <c r="O268" s="48">
        <f t="shared" si="1"/>
        <v>5309268.850000001</v>
      </c>
    </row>
    <row r="269" spans="2:14" ht="19.5" hidden="1" thickTop="1">
      <c r="B269" s="34" t="s">
        <v>2</v>
      </c>
      <c r="C269" s="31"/>
      <c r="D269" s="31"/>
      <c r="E269" s="31"/>
      <c r="F269" s="31"/>
      <c r="G269" s="31"/>
      <c r="H269" s="31"/>
      <c r="I269" s="31"/>
      <c r="J269" s="31"/>
      <c r="K269" s="31"/>
      <c r="L269" s="31"/>
      <c r="M269" s="17"/>
      <c r="N269" s="17"/>
    </row>
    <row r="270" spans="2:14" ht="15.75" hidden="1" thickTop="1">
      <c r="B270" s="31" t="s">
        <v>426</v>
      </c>
      <c r="C270" s="31"/>
      <c r="D270" s="31"/>
      <c r="E270" s="31"/>
      <c r="F270" s="31"/>
      <c r="G270" s="31"/>
      <c r="H270" s="31"/>
      <c r="I270" s="31"/>
      <c r="J270" s="31"/>
      <c r="K270" s="31"/>
      <c r="L270" s="31"/>
      <c r="M270" s="17"/>
      <c r="N270" s="17"/>
    </row>
    <row r="271" spans="2:14" ht="15.75" hidden="1" thickTop="1">
      <c r="B271" s="31" t="s">
        <v>427</v>
      </c>
      <c r="C271" s="31"/>
      <c r="D271" s="31"/>
      <c r="E271" s="31"/>
      <c r="F271" s="31"/>
      <c r="G271" s="31"/>
      <c r="H271" s="31"/>
      <c r="I271" s="31"/>
      <c r="J271" s="31"/>
      <c r="K271" s="31"/>
      <c r="L271" s="31"/>
      <c r="M271" s="17"/>
      <c r="N271" s="17"/>
    </row>
    <row r="272" spans="2:14" ht="15.75" hidden="1" thickTop="1">
      <c r="B272" s="31" t="s">
        <v>428</v>
      </c>
      <c r="C272" s="31"/>
      <c r="D272" s="31"/>
      <c r="E272" s="31"/>
      <c r="F272" s="31"/>
      <c r="G272" s="31"/>
      <c r="H272" s="31"/>
      <c r="I272" s="31"/>
      <c r="J272" s="31"/>
      <c r="K272" s="31"/>
      <c r="L272" s="31"/>
      <c r="M272" s="17"/>
      <c r="N272" s="17"/>
    </row>
    <row r="273" spans="2:14" ht="15.75" hidden="1" thickTop="1">
      <c r="B273" s="31"/>
      <c r="C273" s="31"/>
      <c r="D273" s="31"/>
      <c r="E273" s="31"/>
      <c r="F273" s="31"/>
      <c r="G273" s="31"/>
      <c r="H273" s="31"/>
      <c r="I273" s="31"/>
      <c r="J273" s="31"/>
      <c r="K273" s="31"/>
      <c r="L273" s="31"/>
      <c r="M273" s="17"/>
      <c r="N273" s="17"/>
    </row>
    <row r="274" spans="2:14" ht="15.75" thickTop="1">
      <c r="B274" s="31"/>
      <c r="C274" s="31"/>
      <c r="D274" s="31"/>
      <c r="E274" s="31"/>
      <c r="F274" s="31"/>
      <c r="G274" s="31"/>
      <c r="H274" s="31"/>
      <c r="I274" s="31"/>
      <c r="J274" s="31"/>
      <c r="K274" s="31"/>
      <c r="L274" s="31"/>
      <c r="M274" s="17"/>
      <c r="N274" s="17"/>
    </row>
    <row r="275" spans="2:51" s="514" customFormat="1" ht="16.5">
      <c r="B275" s="600" t="s">
        <v>1117</v>
      </c>
      <c r="C275" s="31"/>
      <c r="D275" s="31"/>
      <c r="E275" s="31"/>
      <c r="F275" s="31"/>
      <c r="G275" s="31"/>
      <c r="H275" s="31"/>
      <c r="I275" s="31"/>
      <c r="J275" s="31"/>
      <c r="K275" s="31"/>
      <c r="L275" s="31"/>
      <c r="M275" s="516"/>
      <c r="N275" s="516"/>
      <c r="Q275" s="173"/>
      <c r="R275" s="173"/>
      <c r="S275" s="173"/>
      <c r="T275" s="173"/>
      <c r="U275" s="173"/>
      <c r="V275" s="173"/>
      <c r="W275" s="173"/>
      <c r="X275" s="173"/>
      <c r="Y275" s="173"/>
      <c r="Z275" s="173"/>
      <c r="AA275" s="173"/>
      <c r="AB275" s="173"/>
      <c r="AC275" s="173"/>
      <c r="AD275" s="173"/>
      <c r="AE275" s="173"/>
      <c r="AF275" s="173"/>
      <c r="AG275" s="173"/>
      <c r="AH275" s="173"/>
      <c r="AI275" s="173"/>
      <c r="AJ275" s="173"/>
      <c r="AK275" s="173"/>
      <c r="AL275" s="173"/>
      <c r="AM275" s="173"/>
      <c r="AN275" s="173"/>
      <c r="AO275" s="173"/>
      <c r="AP275" s="173"/>
      <c r="AQ275" s="173"/>
      <c r="AR275" s="173"/>
      <c r="AS275" s="173"/>
      <c r="AT275" s="173"/>
      <c r="AU275" s="515"/>
      <c r="AV275" s="515"/>
      <c r="AW275" s="515"/>
      <c r="AX275" s="515"/>
      <c r="AY275" s="515"/>
    </row>
    <row r="276" spans="2:51" s="514" customFormat="1" ht="16.5">
      <c r="B276" s="602" t="s">
        <v>1118</v>
      </c>
      <c r="C276" s="31"/>
      <c r="D276" s="31"/>
      <c r="E276" s="31"/>
      <c r="F276" s="31"/>
      <c r="G276" s="31"/>
      <c r="H276" s="31"/>
      <c r="I276" s="31"/>
      <c r="J276" s="31"/>
      <c r="K276" s="31"/>
      <c r="L276" s="31"/>
      <c r="M276" s="516"/>
      <c r="N276" s="516"/>
      <c r="Q276" s="173"/>
      <c r="R276" s="173"/>
      <c r="S276" s="173"/>
      <c r="T276" s="173"/>
      <c r="U276" s="173"/>
      <c r="V276" s="173"/>
      <c r="W276" s="173"/>
      <c r="X276" s="173"/>
      <c r="Y276" s="173"/>
      <c r="Z276" s="173"/>
      <c r="AA276" s="173"/>
      <c r="AB276" s="173"/>
      <c r="AC276" s="173"/>
      <c r="AD276" s="173"/>
      <c r="AE276" s="173"/>
      <c r="AF276" s="173"/>
      <c r="AG276" s="173"/>
      <c r="AH276" s="173"/>
      <c r="AI276" s="173"/>
      <c r="AJ276" s="173"/>
      <c r="AK276" s="173"/>
      <c r="AL276" s="173"/>
      <c r="AM276" s="173"/>
      <c r="AN276" s="173"/>
      <c r="AO276" s="173"/>
      <c r="AP276" s="173"/>
      <c r="AQ276" s="173"/>
      <c r="AR276" s="173"/>
      <c r="AS276" s="173"/>
      <c r="AT276" s="173"/>
      <c r="AU276" s="515"/>
      <c r="AV276" s="515"/>
      <c r="AW276" s="515"/>
      <c r="AX276" s="515"/>
      <c r="AY276" s="515"/>
    </row>
    <row r="277" spans="2:51" s="514" customFormat="1" ht="16.5">
      <c r="B277" s="600" t="s">
        <v>1119</v>
      </c>
      <c r="C277" s="31"/>
      <c r="D277" s="31"/>
      <c r="E277" s="31"/>
      <c r="F277" s="31"/>
      <c r="G277" s="31"/>
      <c r="H277" s="31"/>
      <c r="I277" s="31"/>
      <c r="J277" s="31"/>
      <c r="K277" s="31"/>
      <c r="L277" s="31"/>
      <c r="M277" s="516"/>
      <c r="N277" s="516"/>
      <c r="Q277" s="173"/>
      <c r="R277" s="173"/>
      <c r="S277" s="173"/>
      <c r="T277" s="173"/>
      <c r="U277" s="173"/>
      <c r="V277" s="173"/>
      <c r="W277" s="173"/>
      <c r="X277" s="173"/>
      <c r="Y277" s="173"/>
      <c r="Z277" s="173"/>
      <c r="AA277" s="173"/>
      <c r="AB277" s="173"/>
      <c r="AC277" s="173"/>
      <c r="AD277" s="173"/>
      <c r="AE277" s="173"/>
      <c r="AF277" s="173"/>
      <c r="AG277" s="173"/>
      <c r="AH277" s="173"/>
      <c r="AI277" s="173"/>
      <c r="AJ277" s="173"/>
      <c r="AK277" s="173"/>
      <c r="AL277" s="173"/>
      <c r="AM277" s="173"/>
      <c r="AN277" s="173"/>
      <c r="AO277" s="173"/>
      <c r="AP277" s="173"/>
      <c r="AQ277" s="173"/>
      <c r="AR277" s="173"/>
      <c r="AS277" s="173"/>
      <c r="AT277" s="173"/>
      <c r="AU277" s="515"/>
      <c r="AV277" s="515"/>
      <c r="AW277" s="515"/>
      <c r="AX277" s="515"/>
      <c r="AY277" s="515"/>
    </row>
    <row r="278" spans="2:51" s="514" customFormat="1" ht="16.5">
      <c r="B278" s="600" t="s">
        <v>1120</v>
      </c>
      <c r="C278" s="31"/>
      <c r="D278" s="31"/>
      <c r="E278" s="31"/>
      <c r="F278" s="31"/>
      <c r="G278" s="31"/>
      <c r="H278" s="31"/>
      <c r="I278" s="31"/>
      <c r="J278" s="31"/>
      <c r="K278" s="31"/>
      <c r="L278" s="31"/>
      <c r="M278" s="516"/>
      <c r="N278" s="516"/>
      <c r="Q278" s="173"/>
      <c r="R278" s="173"/>
      <c r="S278" s="173"/>
      <c r="T278" s="173"/>
      <c r="U278" s="173"/>
      <c r="V278" s="173"/>
      <c r="W278" s="173"/>
      <c r="X278" s="173"/>
      <c r="Y278" s="173"/>
      <c r="Z278" s="173"/>
      <c r="AA278" s="173"/>
      <c r="AB278" s="173"/>
      <c r="AC278" s="173"/>
      <c r="AD278" s="173"/>
      <c r="AE278" s="173"/>
      <c r="AF278" s="173"/>
      <c r="AG278" s="173"/>
      <c r="AH278" s="173"/>
      <c r="AI278" s="173"/>
      <c r="AJ278" s="173"/>
      <c r="AK278" s="173"/>
      <c r="AL278" s="173"/>
      <c r="AM278" s="173"/>
      <c r="AN278" s="173"/>
      <c r="AO278" s="173"/>
      <c r="AP278" s="173"/>
      <c r="AQ278" s="173"/>
      <c r="AR278" s="173"/>
      <c r="AS278" s="173"/>
      <c r="AT278" s="173"/>
      <c r="AU278" s="515"/>
      <c r="AV278" s="515"/>
      <c r="AW278" s="515"/>
      <c r="AX278" s="515"/>
      <c r="AY278" s="515"/>
    </row>
    <row r="279" spans="2:51" s="514" customFormat="1" ht="16.5">
      <c r="B279" s="600" t="s">
        <v>1122</v>
      </c>
      <c r="C279" s="31"/>
      <c r="D279" s="31"/>
      <c r="E279" s="31"/>
      <c r="F279" s="31"/>
      <c r="G279" s="31"/>
      <c r="H279" s="31"/>
      <c r="I279" s="31"/>
      <c r="J279" s="31"/>
      <c r="K279" s="31"/>
      <c r="L279" s="31"/>
      <c r="M279" s="516"/>
      <c r="N279" s="516"/>
      <c r="Q279" s="173"/>
      <c r="R279" s="173"/>
      <c r="S279" s="173"/>
      <c r="T279" s="173"/>
      <c r="U279" s="173"/>
      <c r="V279" s="173"/>
      <c r="W279" s="173"/>
      <c r="X279" s="173"/>
      <c r="Y279" s="173"/>
      <c r="Z279" s="173"/>
      <c r="AA279" s="173"/>
      <c r="AB279" s="173"/>
      <c r="AC279" s="173"/>
      <c r="AD279" s="173"/>
      <c r="AE279" s="173"/>
      <c r="AF279" s="173"/>
      <c r="AG279" s="173"/>
      <c r="AH279" s="173"/>
      <c r="AI279" s="173"/>
      <c r="AJ279" s="173"/>
      <c r="AK279" s="173"/>
      <c r="AL279" s="173"/>
      <c r="AM279" s="173"/>
      <c r="AN279" s="173"/>
      <c r="AO279" s="173"/>
      <c r="AP279" s="173"/>
      <c r="AQ279" s="173"/>
      <c r="AR279" s="173"/>
      <c r="AS279" s="173"/>
      <c r="AT279" s="173"/>
      <c r="AU279" s="515"/>
      <c r="AV279" s="515"/>
      <c r="AW279" s="515"/>
      <c r="AX279" s="515"/>
      <c r="AY279" s="515"/>
    </row>
    <row r="280" spans="1:14" ht="20.25">
      <c r="A280" s="599" t="s">
        <v>1001</v>
      </c>
      <c r="B280" s="32"/>
      <c r="C280" s="31"/>
      <c r="D280" s="31"/>
      <c r="E280" s="31"/>
      <c r="F280" s="31"/>
      <c r="G280" s="31"/>
      <c r="H280" s="31"/>
      <c r="I280" s="31"/>
      <c r="J280" s="31"/>
      <c r="K280" s="31"/>
      <c r="L280" s="31"/>
      <c r="M280" s="32"/>
      <c r="N280" s="32"/>
    </row>
    <row r="281" spans="2:15" ht="24" customHeight="1">
      <c r="B281" s="31"/>
      <c r="C281" s="31"/>
      <c r="D281" s="31"/>
      <c r="E281" s="31"/>
      <c r="F281" s="31"/>
      <c r="G281" s="31"/>
      <c r="H281" s="61" t="s">
        <v>504</v>
      </c>
      <c r="I281" s="61" t="s">
        <v>504</v>
      </c>
      <c r="J281" s="61" t="s">
        <v>504</v>
      </c>
      <c r="K281" s="61" t="s">
        <v>504</v>
      </c>
      <c r="L281" s="610" t="s">
        <v>534</v>
      </c>
      <c r="M281" s="610"/>
      <c r="N281" s="609" t="s">
        <v>534</v>
      </c>
      <c r="O281" s="609"/>
    </row>
    <row r="282" spans="1:15" ht="20.25">
      <c r="A282" s="515"/>
      <c r="B282" s="603" t="s">
        <v>3</v>
      </c>
      <c r="C282" s="400"/>
      <c r="D282" s="400"/>
      <c r="E282" s="400"/>
      <c r="F282" s="400"/>
      <c r="G282" s="400"/>
      <c r="H282" s="510">
        <v>2022</v>
      </c>
      <c r="I282" s="510">
        <v>2021</v>
      </c>
      <c r="J282" s="32">
        <v>2020</v>
      </c>
      <c r="K282" s="32">
        <v>2019</v>
      </c>
      <c r="L282" s="32">
        <v>2018</v>
      </c>
      <c r="M282" s="32"/>
      <c r="N282" s="32">
        <v>2017</v>
      </c>
      <c r="O282" s="60">
        <v>2016</v>
      </c>
    </row>
    <row r="283" spans="2:22" ht="18.75">
      <c r="B283" s="596" t="s">
        <v>412</v>
      </c>
      <c r="C283" s="596"/>
      <c r="D283" s="31"/>
      <c r="E283" s="31"/>
      <c r="F283" s="31"/>
      <c r="G283" s="31"/>
      <c r="H283" s="517">
        <v>293387.76</v>
      </c>
      <c r="I283" s="54">
        <v>293427.76</v>
      </c>
      <c r="J283" s="54">
        <v>293387.76</v>
      </c>
      <c r="K283" s="54">
        <v>293387.76</v>
      </c>
      <c r="L283" s="17">
        <v>293387.65</v>
      </c>
      <c r="M283" s="17">
        <v>293387.64</v>
      </c>
      <c r="N283" s="17">
        <v>293387.64</v>
      </c>
      <c r="O283" s="52">
        <v>293387.64</v>
      </c>
      <c r="S283" s="591">
        <f>+H283+H365</f>
        <v>6196003.09</v>
      </c>
      <c r="T283" s="591">
        <f>SUM(H284:H313)</f>
        <v>3167959.4900000007</v>
      </c>
      <c r="U283" s="591"/>
      <c r="V283" s="591"/>
    </row>
    <row r="284" spans="2:22" ht="18.75">
      <c r="B284" s="596" t="s">
        <v>429</v>
      </c>
      <c r="C284" s="596"/>
      <c r="D284" s="31"/>
      <c r="E284" s="31"/>
      <c r="F284" s="31"/>
      <c r="G284" s="31"/>
      <c r="H284" s="517">
        <v>1774100.79</v>
      </c>
      <c r="I284" s="54">
        <v>1743774.82</v>
      </c>
      <c r="J284" s="54">
        <v>2279339.02</v>
      </c>
      <c r="K284" s="54">
        <v>344596.85</v>
      </c>
      <c r="L284" s="17">
        <v>344596.85</v>
      </c>
      <c r="M284" s="17">
        <v>842607.56</v>
      </c>
      <c r="N284" s="17">
        <v>604399.08</v>
      </c>
      <c r="O284" s="17">
        <v>776384.03</v>
      </c>
      <c r="S284" s="591">
        <f>+H314+H315+H316+H318</f>
        <v>1454971.68</v>
      </c>
      <c r="T284" s="591">
        <f>SUM(H319:H341)</f>
        <v>2232520.8200000003</v>
      </c>
      <c r="U284" s="591"/>
      <c r="V284" s="591"/>
    </row>
    <row r="285" spans="2:15" ht="18.75" hidden="1">
      <c r="B285" s="596" t="s">
        <v>430</v>
      </c>
      <c r="C285" s="596"/>
      <c r="D285" s="31"/>
      <c r="E285" s="31"/>
      <c r="F285" s="31"/>
      <c r="G285" s="31"/>
      <c r="H285" s="517"/>
      <c r="I285" s="31"/>
      <c r="J285" s="54"/>
      <c r="K285" s="54"/>
      <c r="L285" s="17"/>
      <c r="M285" s="17"/>
      <c r="N285" s="17"/>
      <c r="O285" s="17"/>
    </row>
    <row r="286" spans="2:15" ht="18.75" hidden="1">
      <c r="B286" s="596" t="s">
        <v>532</v>
      </c>
      <c r="C286" s="596"/>
      <c r="D286" s="31"/>
      <c r="E286" s="31"/>
      <c r="F286" s="31"/>
      <c r="G286" s="31"/>
      <c r="H286" s="517"/>
      <c r="I286" s="54"/>
      <c r="J286" s="54">
        <v>41300.04</v>
      </c>
      <c r="K286" s="54">
        <v>41300</v>
      </c>
      <c r="L286" s="17">
        <v>41300</v>
      </c>
      <c r="M286" s="17">
        <v>4492.58</v>
      </c>
      <c r="N286" s="17">
        <v>41300</v>
      </c>
      <c r="O286" s="17">
        <v>14175.09</v>
      </c>
    </row>
    <row r="287" spans="2:22" ht="18.75">
      <c r="B287" s="596" t="s">
        <v>431</v>
      </c>
      <c r="C287" s="596"/>
      <c r="D287" s="31"/>
      <c r="E287" s="31"/>
      <c r="F287" s="31"/>
      <c r="G287" s="31"/>
      <c r="H287" s="517">
        <v>404881.44</v>
      </c>
      <c r="I287" s="54">
        <v>385807.79</v>
      </c>
      <c r="J287" s="54">
        <v>481272.5</v>
      </c>
      <c r="K287" s="54">
        <v>277104.14</v>
      </c>
      <c r="L287" s="17">
        <v>277104.14</v>
      </c>
      <c r="M287" s="17">
        <v>267603.98</v>
      </c>
      <c r="N287" s="17">
        <v>299510.11</v>
      </c>
      <c r="O287" s="17">
        <v>313789.64</v>
      </c>
      <c r="T287" s="591">
        <f>+H346+H347+H348+H353+H355+H367</f>
        <v>20123.68</v>
      </c>
      <c r="U287" s="591"/>
      <c r="V287" s="591"/>
    </row>
    <row r="288" spans="2:22" ht="18.75">
      <c r="B288" s="596" t="s">
        <v>4</v>
      </c>
      <c r="C288" s="596"/>
      <c r="D288" s="31"/>
      <c r="E288" s="31"/>
      <c r="F288" s="31"/>
      <c r="G288" s="31"/>
      <c r="H288" s="517">
        <v>483.72</v>
      </c>
      <c r="I288" s="54">
        <v>483.72</v>
      </c>
      <c r="J288" s="54">
        <v>6354.23</v>
      </c>
      <c r="K288" s="54">
        <v>11741</v>
      </c>
      <c r="L288" s="17">
        <v>11741</v>
      </c>
      <c r="M288" s="17">
        <v>2064.05</v>
      </c>
      <c r="N288" s="17">
        <v>11741</v>
      </c>
      <c r="O288" s="17">
        <v>8136.53</v>
      </c>
      <c r="T288" s="591">
        <f>+T283+T284+T287</f>
        <v>5420603.99</v>
      </c>
      <c r="U288" s="591"/>
      <c r="V288" s="591"/>
    </row>
    <row r="289" spans="2:22" ht="18.75">
      <c r="B289" s="596" t="s">
        <v>432</v>
      </c>
      <c r="C289" s="596"/>
      <c r="D289" s="31"/>
      <c r="E289" s="31"/>
      <c r="F289" s="31"/>
      <c r="G289" s="31"/>
      <c r="H289" s="517">
        <v>5617.36</v>
      </c>
      <c r="I289" s="54">
        <v>6707.2</v>
      </c>
      <c r="J289" s="54">
        <v>7537.44</v>
      </c>
      <c r="K289" s="54">
        <v>5739.75</v>
      </c>
      <c r="L289" s="17">
        <v>5739.75</v>
      </c>
      <c r="M289" s="17">
        <v>5847.42</v>
      </c>
      <c r="N289" s="17">
        <v>4338.18</v>
      </c>
      <c r="O289" s="17">
        <v>4709.69</v>
      </c>
      <c r="T289" s="591">
        <f>+T288+'Célula No.14 AF DIGECOG'!E13</f>
        <v>0</v>
      </c>
      <c r="U289" s="591"/>
      <c r="V289" s="591"/>
    </row>
    <row r="290" spans="2:22" ht="18.75">
      <c r="B290" s="596" t="s">
        <v>433</v>
      </c>
      <c r="C290" s="596"/>
      <c r="D290" s="31"/>
      <c r="E290" s="31"/>
      <c r="F290" s="31"/>
      <c r="G290" s="31"/>
      <c r="H290" s="517">
        <v>92958.24</v>
      </c>
      <c r="I290" s="54">
        <v>87006.83</v>
      </c>
      <c r="J290" s="54">
        <v>122194.64</v>
      </c>
      <c r="K290" s="54">
        <v>190841.05</v>
      </c>
      <c r="L290" s="17">
        <v>190841.05</v>
      </c>
      <c r="M290" s="17">
        <v>146402.64</v>
      </c>
      <c r="N290" s="17">
        <v>186685.5</v>
      </c>
      <c r="O290" s="17">
        <v>201992.53</v>
      </c>
      <c r="T290" s="591">
        <f>+H342+H344+H356+H361</f>
        <v>460045.07999999996</v>
      </c>
      <c r="U290" s="591"/>
      <c r="V290" s="591"/>
    </row>
    <row r="291" spans="2:22" ht="18.75">
      <c r="B291" s="596" t="s">
        <v>434</v>
      </c>
      <c r="C291" s="596"/>
      <c r="D291" s="31"/>
      <c r="E291" s="31"/>
      <c r="F291" s="31"/>
      <c r="G291" s="31"/>
      <c r="H291" s="517">
        <v>809768.31</v>
      </c>
      <c r="I291" s="54">
        <v>804360.56</v>
      </c>
      <c r="J291" s="54">
        <v>475143.09</v>
      </c>
      <c r="K291" s="54">
        <v>132452.82</v>
      </c>
      <c r="L291" s="17">
        <v>132452.82</v>
      </c>
      <c r="M291" s="17">
        <v>154617.3</v>
      </c>
      <c r="N291" s="17">
        <v>81484.47</v>
      </c>
      <c r="O291" s="17">
        <v>74114.59</v>
      </c>
      <c r="T291" s="591">
        <f>+T290+'Célula No.14 AF DIGECOG'!D13</f>
        <v>-124449.93000000005</v>
      </c>
      <c r="U291" s="591"/>
      <c r="V291" s="591"/>
    </row>
    <row r="292" spans="2:15" ht="18.75">
      <c r="B292" s="596" t="s">
        <v>435</v>
      </c>
      <c r="C292" s="596"/>
      <c r="D292" s="31"/>
      <c r="E292" s="31"/>
      <c r="F292" s="31"/>
      <c r="G292" s="31"/>
      <c r="H292" s="517">
        <v>3551.76</v>
      </c>
      <c r="I292" s="54">
        <v>3801.68</v>
      </c>
      <c r="J292" s="54">
        <v>26780.31</v>
      </c>
      <c r="K292" s="54">
        <v>17860.04</v>
      </c>
      <c r="L292" s="17">
        <v>17860.04</v>
      </c>
      <c r="M292" s="17">
        <v>8502.95</v>
      </c>
      <c r="N292" s="17">
        <v>8532.47</v>
      </c>
      <c r="O292" s="17">
        <v>5948.25</v>
      </c>
    </row>
    <row r="293" spans="2:15" ht="18.75" hidden="1">
      <c r="B293" s="596" t="s">
        <v>436</v>
      </c>
      <c r="C293" s="596"/>
      <c r="D293" s="31"/>
      <c r="E293" s="31"/>
      <c r="F293" s="31"/>
      <c r="G293" s="31"/>
      <c r="H293" s="517"/>
      <c r="I293" s="54"/>
      <c r="J293" s="54"/>
      <c r="K293" s="54"/>
      <c r="L293" s="17"/>
      <c r="M293" s="17"/>
      <c r="N293" s="17"/>
      <c r="O293" s="17"/>
    </row>
    <row r="294" spans="2:15" ht="18.75" hidden="1">
      <c r="B294" s="596" t="s">
        <v>437</v>
      </c>
      <c r="C294" s="596"/>
      <c r="D294" s="31"/>
      <c r="E294" s="31"/>
      <c r="F294" s="31"/>
      <c r="G294" s="31"/>
      <c r="H294" s="517"/>
      <c r="I294" s="54"/>
      <c r="J294" s="54"/>
      <c r="K294" s="54"/>
      <c r="L294" s="17"/>
      <c r="M294" s="17"/>
      <c r="N294" s="17"/>
      <c r="O294" s="17"/>
    </row>
    <row r="295" spans="2:22" ht="18.75">
      <c r="B295" s="596" t="s">
        <v>526</v>
      </c>
      <c r="C295" s="596"/>
      <c r="D295" s="31"/>
      <c r="E295" s="31"/>
      <c r="F295" s="31"/>
      <c r="G295" s="31"/>
      <c r="H295" s="517">
        <v>2499.96</v>
      </c>
      <c r="I295" s="54">
        <v>2499.96</v>
      </c>
      <c r="J295" s="54">
        <v>60465.48</v>
      </c>
      <c r="K295" s="54">
        <v>84593.66</v>
      </c>
      <c r="L295" s="17">
        <v>84593.66</v>
      </c>
      <c r="M295" s="17"/>
      <c r="N295" s="17">
        <v>84593.66</v>
      </c>
      <c r="O295" s="17">
        <v>49346.3</v>
      </c>
      <c r="T295" s="591">
        <f>+S283+S284+T288+T290</f>
        <v>13531623.84</v>
      </c>
      <c r="U295" s="591"/>
      <c r="V295" s="591"/>
    </row>
    <row r="296" spans="2:15" ht="18.75" hidden="1">
      <c r="B296" s="596" t="s">
        <v>433</v>
      </c>
      <c r="C296" s="596"/>
      <c r="D296" s="31"/>
      <c r="E296" s="31"/>
      <c r="F296" s="31"/>
      <c r="G296" s="31"/>
      <c r="H296" s="517"/>
      <c r="I296" s="54"/>
      <c r="J296" s="54"/>
      <c r="K296" s="54"/>
      <c r="L296" s="17"/>
      <c r="M296" s="17">
        <v>1495.31</v>
      </c>
      <c r="N296" s="17"/>
      <c r="O296" s="17">
        <v>271.87</v>
      </c>
    </row>
    <row r="297" spans="2:15" ht="18.75" hidden="1">
      <c r="B297" s="596" t="s">
        <v>438</v>
      </c>
      <c r="C297" s="596"/>
      <c r="D297" s="31"/>
      <c r="E297" s="31"/>
      <c r="F297" s="31"/>
      <c r="G297" s="31"/>
      <c r="H297" s="517"/>
      <c r="I297" s="54"/>
      <c r="J297" s="54">
        <v>2242.07</v>
      </c>
      <c r="K297" s="54">
        <v>3702.48</v>
      </c>
      <c r="L297" s="17">
        <v>3702.54</v>
      </c>
      <c r="M297" s="17">
        <v>4250</v>
      </c>
      <c r="N297" s="17">
        <v>4410.88</v>
      </c>
      <c r="O297" s="17">
        <v>4357.25</v>
      </c>
    </row>
    <row r="298" spans="2:22" ht="18.75">
      <c r="B298" s="596" t="s">
        <v>439</v>
      </c>
      <c r="C298" s="596"/>
      <c r="D298" s="31"/>
      <c r="E298" s="31"/>
      <c r="F298" s="31"/>
      <c r="G298" s="31"/>
      <c r="H298" s="517">
        <v>3499.92</v>
      </c>
      <c r="I298" s="54">
        <v>3499.92</v>
      </c>
      <c r="J298" s="54">
        <v>11768.21</v>
      </c>
      <c r="K298" s="54">
        <v>57556.91</v>
      </c>
      <c r="L298" s="17">
        <v>57556.91</v>
      </c>
      <c r="M298" s="17">
        <v>12954.5</v>
      </c>
      <c r="N298" s="17">
        <v>30201.43</v>
      </c>
      <c r="O298" s="17">
        <v>14968.36</v>
      </c>
      <c r="T298" s="591">
        <f>+T295+'Célula No.14 AF DIGECOG'!H13</f>
        <v>-124449.9299999997</v>
      </c>
      <c r="U298" s="591"/>
      <c r="V298" s="591"/>
    </row>
    <row r="299" spans="2:15" ht="18.75" hidden="1">
      <c r="B299" s="596" t="s">
        <v>533</v>
      </c>
      <c r="C299" s="596"/>
      <c r="D299" s="31"/>
      <c r="E299" s="31"/>
      <c r="F299" s="31"/>
      <c r="G299" s="31"/>
      <c r="H299" s="517"/>
      <c r="I299" s="54">
        <v>0</v>
      </c>
      <c r="J299" s="54">
        <v>8052.9</v>
      </c>
      <c r="K299" s="54">
        <v>16105.7</v>
      </c>
      <c r="L299" s="17">
        <v>16105.7</v>
      </c>
      <c r="M299" s="17"/>
      <c r="N299" s="17">
        <v>4026.42</v>
      </c>
      <c r="O299" s="17"/>
    </row>
    <row r="300" spans="2:15" ht="18.75" hidden="1">
      <c r="B300" s="596" t="s">
        <v>440</v>
      </c>
      <c r="C300" s="596"/>
      <c r="D300" s="31"/>
      <c r="E300" s="31"/>
      <c r="F300" s="31"/>
      <c r="G300" s="31"/>
      <c r="H300" s="517"/>
      <c r="I300" s="54"/>
      <c r="J300" s="54"/>
      <c r="K300" s="54"/>
      <c r="L300" s="17"/>
      <c r="M300" s="17">
        <v>688.75</v>
      </c>
      <c r="N300" s="17"/>
      <c r="O300" s="17"/>
    </row>
    <row r="301" spans="2:15" ht="18.75" hidden="1">
      <c r="B301" s="596" t="s">
        <v>527</v>
      </c>
      <c r="C301" s="596"/>
      <c r="D301" s="31"/>
      <c r="E301" s="31"/>
      <c r="F301" s="31"/>
      <c r="G301" s="31"/>
      <c r="H301" s="517"/>
      <c r="I301" s="54"/>
      <c r="J301" s="54">
        <v>1405.13</v>
      </c>
      <c r="K301" s="54">
        <v>2720.99</v>
      </c>
      <c r="L301" s="17">
        <v>2720.99</v>
      </c>
      <c r="M301" s="17"/>
      <c r="N301" s="17">
        <v>1222.68</v>
      </c>
      <c r="O301" s="17">
        <v>229.58</v>
      </c>
    </row>
    <row r="302" spans="2:15" ht="18.75" hidden="1">
      <c r="B302" s="596" t="s">
        <v>433</v>
      </c>
      <c r="C302" s="596"/>
      <c r="D302" s="31"/>
      <c r="E302" s="31"/>
      <c r="F302" s="31"/>
      <c r="G302" s="31"/>
      <c r="H302" s="517"/>
      <c r="I302" s="54"/>
      <c r="J302" s="54">
        <v>25978.68</v>
      </c>
      <c r="K302" s="54"/>
      <c r="L302" s="17"/>
      <c r="M302" s="17">
        <v>1495.31</v>
      </c>
      <c r="N302" s="17"/>
      <c r="O302" s="17">
        <v>271.87</v>
      </c>
    </row>
    <row r="303" spans="2:22" ht="18.75">
      <c r="B303" s="596" t="s">
        <v>441</v>
      </c>
      <c r="C303" s="596"/>
      <c r="D303" s="31"/>
      <c r="E303" s="31"/>
      <c r="F303" s="31"/>
      <c r="G303" s="31"/>
      <c r="H303" s="517">
        <v>12639.24</v>
      </c>
      <c r="I303" s="54">
        <v>12639.24</v>
      </c>
      <c r="J303" s="54">
        <v>1233.18</v>
      </c>
      <c r="K303" s="54"/>
      <c r="L303" s="17"/>
      <c r="M303" s="17">
        <v>31918.1</v>
      </c>
      <c r="N303" s="17"/>
      <c r="O303" s="17"/>
      <c r="T303" s="591">
        <f>+T295+H368+H369</f>
        <v>15997928.379999999</v>
      </c>
      <c r="U303" s="591"/>
      <c r="V303" s="591"/>
    </row>
    <row r="304" spans="2:15" ht="18.75">
      <c r="B304" s="596" t="s">
        <v>442</v>
      </c>
      <c r="C304" s="596"/>
      <c r="D304" s="31"/>
      <c r="E304" s="31"/>
      <c r="F304" s="31"/>
      <c r="G304" s="31"/>
      <c r="H304" s="517">
        <v>19854.96</v>
      </c>
      <c r="I304" s="54">
        <v>4081.18</v>
      </c>
      <c r="J304" s="54">
        <v>10091</v>
      </c>
      <c r="K304" s="54">
        <v>0</v>
      </c>
      <c r="L304" s="17">
        <v>0</v>
      </c>
      <c r="M304" s="17">
        <v>48314.74</v>
      </c>
      <c r="N304" s="17">
        <v>2374.75</v>
      </c>
      <c r="O304" s="17">
        <v>19271.1</v>
      </c>
    </row>
    <row r="305" spans="2:51" s="4" customFormat="1" ht="18.75">
      <c r="B305" s="596" t="s">
        <v>688</v>
      </c>
      <c r="C305" s="596"/>
      <c r="D305" s="31"/>
      <c r="E305" s="31"/>
      <c r="F305" s="31"/>
      <c r="G305" s="31"/>
      <c r="H305" s="517">
        <v>12835.2</v>
      </c>
      <c r="I305" s="54">
        <v>1069.6</v>
      </c>
      <c r="J305" s="54"/>
      <c r="K305" s="54"/>
      <c r="L305" s="17"/>
      <c r="M305" s="17"/>
      <c r="N305" s="17"/>
      <c r="O305" s="17"/>
      <c r="Q305" s="173"/>
      <c r="R305" s="173"/>
      <c r="S305" s="173"/>
      <c r="T305" s="173"/>
      <c r="U305" s="173"/>
      <c r="V305" s="173"/>
      <c r="W305" s="173"/>
      <c r="X305" s="173"/>
      <c r="Y305" s="173"/>
      <c r="Z305" s="173"/>
      <c r="AA305" s="173"/>
      <c r="AB305" s="173"/>
      <c r="AC305" s="173"/>
      <c r="AD305" s="173"/>
      <c r="AE305" s="173"/>
      <c r="AF305" s="173"/>
      <c r="AG305" s="173"/>
      <c r="AH305" s="173"/>
      <c r="AI305" s="173"/>
      <c r="AJ305" s="173"/>
      <c r="AK305" s="173"/>
      <c r="AL305" s="173"/>
      <c r="AM305" s="173"/>
      <c r="AN305" s="173"/>
      <c r="AO305" s="173"/>
      <c r="AP305" s="173"/>
      <c r="AQ305" s="173"/>
      <c r="AR305" s="173"/>
      <c r="AS305" s="173"/>
      <c r="AT305" s="173"/>
      <c r="AU305" s="172"/>
      <c r="AV305" s="172"/>
      <c r="AW305" s="172"/>
      <c r="AX305" s="172"/>
      <c r="AY305" s="172"/>
    </row>
    <row r="306" spans="2:15" ht="18.75" hidden="1">
      <c r="B306" s="596" t="s">
        <v>443</v>
      </c>
      <c r="C306" s="596"/>
      <c r="D306" s="31"/>
      <c r="E306" s="31"/>
      <c r="F306" s="31"/>
      <c r="G306" s="31"/>
      <c r="H306" s="517"/>
      <c r="I306" s="54"/>
      <c r="J306" s="54">
        <v>137.7</v>
      </c>
      <c r="K306" s="54"/>
      <c r="L306" s="17"/>
      <c r="M306" s="17">
        <v>688.75</v>
      </c>
      <c r="N306" s="17"/>
      <c r="O306" s="17">
        <v>229.58</v>
      </c>
    </row>
    <row r="307" spans="2:15" ht="18.75" hidden="1">
      <c r="B307" s="596" t="s">
        <v>275</v>
      </c>
      <c r="C307" s="596"/>
      <c r="D307" s="31"/>
      <c r="E307" s="31"/>
      <c r="F307" s="31"/>
      <c r="G307" s="31"/>
      <c r="H307" s="517"/>
      <c r="I307" s="54"/>
      <c r="J307" s="54">
        <v>1629.24</v>
      </c>
      <c r="K307" s="54">
        <v>2443.86</v>
      </c>
      <c r="L307" s="17">
        <v>2443.78</v>
      </c>
      <c r="M307" s="17">
        <v>2986.86</v>
      </c>
      <c r="N307" s="17">
        <v>3258.4</v>
      </c>
      <c r="O307" s="17">
        <v>3258.4</v>
      </c>
    </row>
    <row r="308" spans="2:15" ht="18.75" hidden="1">
      <c r="B308" s="596" t="s">
        <v>477</v>
      </c>
      <c r="C308" s="596"/>
      <c r="D308" s="31"/>
      <c r="E308" s="31"/>
      <c r="F308" s="31"/>
      <c r="G308" s="31"/>
      <c r="H308" s="517"/>
      <c r="I308" s="54"/>
      <c r="J308" s="54"/>
      <c r="K308" s="54"/>
      <c r="L308" s="17"/>
      <c r="M308" s="17"/>
      <c r="N308" s="17"/>
      <c r="O308" s="17"/>
    </row>
    <row r="309" spans="2:15" ht="18.75" hidden="1">
      <c r="B309" s="596" t="s">
        <v>478</v>
      </c>
      <c r="C309" s="596"/>
      <c r="D309" s="31"/>
      <c r="E309" s="31"/>
      <c r="F309" s="31"/>
      <c r="G309" s="31"/>
      <c r="H309" s="517"/>
      <c r="I309" s="54"/>
      <c r="J309" s="54"/>
      <c r="K309" s="54"/>
      <c r="L309" s="17"/>
      <c r="M309" s="17"/>
      <c r="N309" s="17"/>
      <c r="O309" s="17"/>
    </row>
    <row r="310" spans="2:15" ht="18.75" hidden="1">
      <c r="B310" s="596" t="s">
        <v>444</v>
      </c>
      <c r="C310" s="596"/>
      <c r="D310" s="31"/>
      <c r="E310" s="31"/>
      <c r="F310" s="31"/>
      <c r="G310" s="31"/>
      <c r="H310" s="517"/>
      <c r="I310" s="54"/>
      <c r="J310" s="54">
        <v>658.24</v>
      </c>
      <c r="K310" s="54">
        <v>375</v>
      </c>
      <c r="L310" s="17">
        <v>375</v>
      </c>
      <c r="M310" s="17">
        <v>8863.35</v>
      </c>
      <c r="N310" s="17">
        <v>375</v>
      </c>
      <c r="O310" s="17">
        <v>3182.85</v>
      </c>
    </row>
    <row r="311" spans="2:15" ht="18.75">
      <c r="B311" s="596" t="s">
        <v>655</v>
      </c>
      <c r="C311" s="596"/>
      <c r="D311" s="31"/>
      <c r="E311" s="31"/>
      <c r="F311" s="31"/>
      <c r="G311" s="31"/>
      <c r="H311" s="517">
        <v>9894.6</v>
      </c>
      <c r="I311" s="54">
        <v>9894.6</v>
      </c>
      <c r="J311" s="54">
        <v>8245.57</v>
      </c>
      <c r="K311" s="54">
        <v>25620</v>
      </c>
      <c r="L311" s="17"/>
      <c r="M311" s="17"/>
      <c r="N311" s="17"/>
      <c r="O311" s="17"/>
    </row>
    <row r="312" spans="2:15" ht="18.75">
      <c r="B312" s="596" t="s">
        <v>656</v>
      </c>
      <c r="C312" s="596"/>
      <c r="D312" s="31"/>
      <c r="E312" s="31"/>
      <c r="F312" s="31"/>
      <c r="G312" s="31"/>
      <c r="H312" s="517">
        <v>12339.72</v>
      </c>
      <c r="I312" s="54">
        <v>12339.72</v>
      </c>
      <c r="J312" s="54">
        <v>12339.65</v>
      </c>
      <c r="K312" s="57">
        <v>15434.56</v>
      </c>
      <c r="L312" s="17"/>
      <c r="M312" s="17"/>
      <c r="N312" s="17"/>
      <c r="O312" s="17"/>
    </row>
    <row r="313" spans="2:51" s="4" customFormat="1" ht="18.75">
      <c r="B313" s="596" t="s">
        <v>657</v>
      </c>
      <c r="C313" s="596"/>
      <c r="D313" s="31"/>
      <c r="E313" s="31"/>
      <c r="F313" s="31"/>
      <c r="G313" s="31"/>
      <c r="H313" s="517">
        <v>3034.27</v>
      </c>
      <c r="I313" s="54"/>
      <c r="J313" s="54"/>
      <c r="K313" s="57"/>
      <c r="L313" s="17"/>
      <c r="M313" s="17"/>
      <c r="N313" s="17"/>
      <c r="O313" s="17"/>
      <c r="Q313" s="173"/>
      <c r="R313" s="173"/>
      <c r="S313" s="173"/>
      <c r="T313" s="173"/>
      <c r="U313" s="173"/>
      <c r="V313" s="173"/>
      <c r="W313" s="173"/>
      <c r="X313" s="173"/>
      <c r="Y313" s="173"/>
      <c r="Z313" s="173"/>
      <c r="AA313" s="173"/>
      <c r="AB313" s="173"/>
      <c r="AC313" s="173"/>
      <c r="AD313" s="173"/>
      <c r="AE313" s="173"/>
      <c r="AF313" s="173"/>
      <c r="AG313" s="173"/>
      <c r="AH313" s="173"/>
      <c r="AI313" s="173"/>
      <c r="AJ313" s="173"/>
      <c r="AK313" s="173"/>
      <c r="AL313" s="173"/>
      <c r="AM313" s="173"/>
      <c r="AN313" s="173"/>
      <c r="AO313" s="173"/>
      <c r="AP313" s="173"/>
      <c r="AQ313" s="173"/>
      <c r="AR313" s="173"/>
      <c r="AS313" s="173"/>
      <c r="AT313" s="173"/>
      <c r="AU313" s="172"/>
      <c r="AV313" s="172"/>
      <c r="AW313" s="172"/>
      <c r="AX313" s="172"/>
      <c r="AY313" s="172"/>
    </row>
    <row r="314" spans="2:15" ht="18.75">
      <c r="B314" s="596" t="s">
        <v>5</v>
      </c>
      <c r="C314" s="596"/>
      <c r="D314" s="31"/>
      <c r="E314" s="31"/>
      <c r="F314" s="31"/>
      <c r="G314" s="31"/>
      <c r="H314" s="517">
        <v>213247.92</v>
      </c>
      <c r="I314" s="54">
        <v>213247.92</v>
      </c>
      <c r="J314" s="54">
        <v>639743.88</v>
      </c>
      <c r="K314" s="54">
        <v>533120</v>
      </c>
      <c r="L314" s="17">
        <v>533120</v>
      </c>
      <c r="M314" s="17">
        <v>185504.37</v>
      </c>
      <c r="N314" s="17">
        <v>266560</v>
      </c>
      <c r="O314" s="17"/>
    </row>
    <row r="315" spans="1:51" s="4" customFormat="1" ht="18.75">
      <c r="A315" s="92" t="s">
        <v>97</v>
      </c>
      <c r="B315" s="596" t="s">
        <v>689</v>
      </c>
      <c r="C315" s="596"/>
      <c r="D315" s="31"/>
      <c r="E315" s="31"/>
      <c r="F315" s="31"/>
      <c r="G315" s="31"/>
      <c r="H315" s="517">
        <v>98541.96</v>
      </c>
      <c r="I315" s="54">
        <v>8211.83</v>
      </c>
      <c r="J315" s="54"/>
      <c r="K315" s="54"/>
      <c r="L315" s="17"/>
      <c r="M315" s="17"/>
      <c r="N315" s="17"/>
      <c r="O315" s="17"/>
      <c r="Q315" s="173"/>
      <c r="R315" s="173"/>
      <c r="S315" s="173"/>
      <c r="T315" s="173"/>
      <c r="U315" s="173"/>
      <c r="V315" s="173"/>
      <c r="W315" s="173"/>
      <c r="X315" s="173"/>
      <c r="Y315" s="173"/>
      <c r="Z315" s="173"/>
      <c r="AA315" s="173"/>
      <c r="AB315" s="173"/>
      <c r="AC315" s="173"/>
      <c r="AD315" s="173"/>
      <c r="AE315" s="173"/>
      <c r="AF315" s="173"/>
      <c r="AG315" s="173"/>
      <c r="AH315" s="173"/>
      <c r="AI315" s="173"/>
      <c r="AJ315" s="173"/>
      <c r="AK315" s="173"/>
      <c r="AL315" s="173"/>
      <c r="AM315" s="173"/>
      <c r="AN315" s="173"/>
      <c r="AO315" s="173"/>
      <c r="AP315" s="173"/>
      <c r="AQ315" s="173"/>
      <c r="AR315" s="173"/>
      <c r="AS315" s="173"/>
      <c r="AT315" s="173"/>
      <c r="AU315" s="172"/>
      <c r="AV315" s="172"/>
      <c r="AW315" s="172"/>
      <c r="AX315" s="172"/>
      <c r="AY315" s="172"/>
    </row>
    <row r="316" spans="2:16" ht="18.75">
      <c r="B316" s="596" t="s">
        <v>445</v>
      </c>
      <c r="C316" s="596"/>
      <c r="D316" s="31"/>
      <c r="E316" s="31"/>
      <c r="F316" s="31"/>
      <c r="G316" s="31"/>
      <c r="H316" s="517">
        <v>1043795.16</v>
      </c>
      <c r="I316" s="54">
        <v>1018023.85</v>
      </c>
      <c r="J316" s="54">
        <v>864946.28</v>
      </c>
      <c r="K316" s="54">
        <v>749270.83</v>
      </c>
      <c r="L316" s="17">
        <v>749270.83</v>
      </c>
      <c r="M316" s="17">
        <v>611993.95</v>
      </c>
      <c r="N316" s="17"/>
      <c r="O316" s="17"/>
      <c r="P316" s="17">
        <f>SUM(J284:J312)</f>
        <v>3584168.3200000003</v>
      </c>
    </row>
    <row r="317" spans="2:15" ht="18.75" hidden="1">
      <c r="B317" s="596" t="s">
        <v>6</v>
      </c>
      <c r="C317" s="596"/>
      <c r="D317" s="31"/>
      <c r="E317" s="31"/>
      <c r="F317" s="31"/>
      <c r="G317" s="31"/>
      <c r="H317" s="517"/>
      <c r="I317" s="54"/>
      <c r="J317" s="54"/>
      <c r="K317" s="54">
        <v>0</v>
      </c>
      <c r="L317" s="17">
        <v>0</v>
      </c>
      <c r="M317" s="17">
        <v>71200</v>
      </c>
      <c r="N317" s="17">
        <v>47466.68</v>
      </c>
      <c r="O317" s="17">
        <v>71200</v>
      </c>
    </row>
    <row r="318" spans="1:51" s="4" customFormat="1" ht="18.75">
      <c r="A318" s="92" t="s">
        <v>97</v>
      </c>
      <c r="B318" s="596" t="s">
        <v>690</v>
      </c>
      <c r="C318" s="596"/>
      <c r="D318" s="31"/>
      <c r="E318" s="31"/>
      <c r="F318" s="31"/>
      <c r="G318" s="31"/>
      <c r="H318" s="517">
        <v>99386.64</v>
      </c>
      <c r="I318" s="54">
        <v>24846.66</v>
      </c>
      <c r="J318" s="54"/>
      <c r="K318" s="54"/>
      <c r="L318" s="17"/>
      <c r="M318" s="17"/>
      <c r="N318" s="17"/>
      <c r="O318" s="17"/>
      <c r="Q318" s="173"/>
      <c r="R318" s="173"/>
      <c r="S318" s="173"/>
      <c r="T318" s="173"/>
      <c r="U318" s="173"/>
      <c r="V318" s="173"/>
      <c r="W318" s="173"/>
      <c r="X318" s="173"/>
      <c r="Y318" s="173"/>
      <c r="Z318" s="173"/>
      <c r="AA318" s="173"/>
      <c r="AB318" s="173"/>
      <c r="AC318" s="173"/>
      <c r="AD318" s="173"/>
      <c r="AE318" s="173"/>
      <c r="AF318" s="173"/>
      <c r="AG318" s="173"/>
      <c r="AH318" s="173"/>
      <c r="AI318" s="173"/>
      <c r="AJ318" s="173"/>
      <c r="AK318" s="173"/>
      <c r="AL318" s="173"/>
      <c r="AM318" s="173"/>
      <c r="AN318" s="173"/>
      <c r="AO318" s="173"/>
      <c r="AP318" s="173"/>
      <c r="AQ318" s="173"/>
      <c r="AR318" s="173"/>
      <c r="AS318" s="173"/>
      <c r="AT318" s="173"/>
      <c r="AU318" s="172"/>
      <c r="AV318" s="172"/>
      <c r="AW318" s="172"/>
      <c r="AX318" s="172"/>
      <c r="AY318" s="172"/>
    </row>
    <row r="319" spans="2:16" ht="18.75">
      <c r="B319" s="596" t="s">
        <v>609</v>
      </c>
      <c r="C319" s="596"/>
      <c r="D319" s="31"/>
      <c r="E319" s="31"/>
      <c r="F319" s="31"/>
      <c r="G319" s="31"/>
      <c r="H319" s="517">
        <v>1710457.28</v>
      </c>
      <c r="I319" s="54">
        <v>1859171.65</v>
      </c>
      <c r="J319" s="54">
        <v>1825554.85</v>
      </c>
      <c r="K319" s="54">
        <v>1297795.73</v>
      </c>
      <c r="L319" s="17">
        <v>1297795.73</v>
      </c>
      <c r="M319" s="17">
        <v>688932.45</v>
      </c>
      <c r="N319" s="17">
        <v>1256925.18</v>
      </c>
      <c r="O319" s="17">
        <v>746087.68</v>
      </c>
      <c r="P319" s="17">
        <f>SUM(J319:J361)</f>
        <v>3349244.249999999</v>
      </c>
    </row>
    <row r="320" spans="2:16" ht="18.75">
      <c r="B320" s="596" t="s">
        <v>446</v>
      </c>
      <c r="C320" s="596"/>
      <c r="D320" s="31"/>
      <c r="E320" s="31"/>
      <c r="F320" s="31"/>
      <c r="G320" s="31"/>
      <c r="H320" s="517">
        <v>175092.11</v>
      </c>
      <c r="I320" s="54">
        <v>184796.92</v>
      </c>
      <c r="J320" s="54">
        <v>216291.46</v>
      </c>
      <c r="K320" s="54">
        <v>139506.88</v>
      </c>
      <c r="L320" s="17">
        <v>139506.88</v>
      </c>
      <c r="M320" s="17">
        <v>111581.49</v>
      </c>
      <c r="N320" s="17">
        <v>136135.39</v>
      </c>
      <c r="O320" s="17">
        <v>120578.23</v>
      </c>
      <c r="P320" s="209">
        <f>+P316+P319</f>
        <v>6933412.569999999</v>
      </c>
    </row>
    <row r="321" spans="2:15" ht="18.75">
      <c r="B321" s="596" t="s">
        <v>447</v>
      </c>
      <c r="C321" s="596"/>
      <c r="D321" s="31"/>
      <c r="E321" s="31"/>
      <c r="F321" s="31"/>
      <c r="G321" s="31"/>
      <c r="H321" s="517">
        <v>28555.44</v>
      </c>
      <c r="I321" s="54">
        <v>48995.65</v>
      </c>
      <c r="J321" s="54">
        <v>58041.51</v>
      </c>
      <c r="K321" s="54">
        <v>40566.76</v>
      </c>
      <c r="L321" s="17">
        <v>40566.76</v>
      </c>
      <c r="M321" s="17">
        <v>2441.86</v>
      </c>
      <c r="N321" s="17">
        <v>7325.59</v>
      </c>
      <c r="O321" s="17">
        <v>7325.59</v>
      </c>
    </row>
    <row r="322" spans="2:15" ht="18.75">
      <c r="B322" s="596" t="s">
        <v>448</v>
      </c>
      <c r="C322" s="596"/>
      <c r="D322" s="31"/>
      <c r="E322" s="31"/>
      <c r="F322" s="31"/>
      <c r="G322" s="31"/>
      <c r="H322" s="517">
        <v>109167.88</v>
      </c>
      <c r="I322" s="54">
        <v>45856.38</v>
      </c>
      <c r="J322" s="54">
        <v>75627.34</v>
      </c>
      <c r="K322" s="54">
        <v>25826.65</v>
      </c>
      <c r="L322" s="17">
        <v>25826.65</v>
      </c>
      <c r="M322" s="17">
        <v>71466.47</v>
      </c>
      <c r="N322" s="17">
        <v>50564.39</v>
      </c>
      <c r="O322" s="17">
        <v>60562.53</v>
      </c>
    </row>
    <row r="323" spans="2:15" ht="18.75">
      <c r="B323" s="596" t="s">
        <v>449</v>
      </c>
      <c r="C323" s="596"/>
      <c r="D323" s="31"/>
      <c r="E323" s="31"/>
      <c r="F323" s="31"/>
      <c r="G323" s="31"/>
      <c r="H323" s="517">
        <v>34701.77</v>
      </c>
      <c r="I323" s="54">
        <v>77672.88</v>
      </c>
      <c r="J323" s="54">
        <f>211348.37+99.69</f>
        <v>211448.06</v>
      </c>
      <c r="K323" s="54">
        <v>331394.4</v>
      </c>
      <c r="L323" s="17">
        <v>331394.4</v>
      </c>
      <c r="M323" s="17">
        <v>720951.88</v>
      </c>
      <c r="N323" s="17">
        <v>681043.83</v>
      </c>
      <c r="O323" s="17">
        <v>899286.26</v>
      </c>
    </row>
    <row r="324" spans="2:15" ht="18.75">
      <c r="B324" s="596" t="s">
        <v>610</v>
      </c>
      <c r="C324" s="596"/>
      <c r="D324" s="31"/>
      <c r="E324" s="31"/>
      <c r="F324" s="31"/>
      <c r="G324" s="31"/>
      <c r="H324" s="517">
        <v>93025.44</v>
      </c>
      <c r="I324" s="54">
        <v>132913.08</v>
      </c>
      <c r="J324" s="54">
        <v>81415.61</v>
      </c>
      <c r="K324" s="54">
        <v>69776.63</v>
      </c>
      <c r="L324" s="17">
        <v>69776.63</v>
      </c>
      <c r="M324" s="17">
        <v>4442.22</v>
      </c>
      <c r="N324" s="17">
        <v>69483.36</v>
      </c>
      <c r="O324" s="17">
        <v>33982.55</v>
      </c>
    </row>
    <row r="325" spans="2:15" ht="18.75" hidden="1">
      <c r="B325" s="596" t="s">
        <v>450</v>
      </c>
      <c r="C325" s="596"/>
      <c r="D325" s="31"/>
      <c r="E325" s="31"/>
      <c r="F325" s="31"/>
      <c r="G325" s="31"/>
      <c r="H325" s="517"/>
      <c r="I325" s="54"/>
      <c r="J325" s="54">
        <v>8895.87</v>
      </c>
      <c r="K325" s="54">
        <v>13454.14</v>
      </c>
      <c r="L325" s="17">
        <v>13454.14</v>
      </c>
      <c r="M325" s="17">
        <v>11857.37</v>
      </c>
      <c r="N325" s="17">
        <v>8049.99</v>
      </c>
      <c r="O325" s="17">
        <v>398.75</v>
      </c>
    </row>
    <row r="326" spans="2:15" ht="18.75">
      <c r="B326" s="596" t="s">
        <v>585</v>
      </c>
      <c r="C326" s="596"/>
      <c r="D326" s="31"/>
      <c r="E326" s="31"/>
      <c r="F326" s="31"/>
      <c r="G326" s="31"/>
      <c r="H326" s="517"/>
      <c r="I326" s="54">
        <v>38164.02</v>
      </c>
      <c r="J326" s="54">
        <v>28522.38</v>
      </c>
      <c r="K326" s="54">
        <v>14254.63</v>
      </c>
      <c r="L326" s="17">
        <v>14254.63</v>
      </c>
      <c r="M326" s="17"/>
      <c r="N326" s="17"/>
      <c r="O326" s="17"/>
    </row>
    <row r="327" spans="2:15" ht="18.75" hidden="1">
      <c r="B327" s="596" t="s">
        <v>451</v>
      </c>
      <c r="C327" s="596"/>
      <c r="D327" s="31"/>
      <c r="E327" s="31"/>
      <c r="F327" s="31"/>
      <c r="G327" s="31"/>
      <c r="H327" s="517"/>
      <c r="I327" s="54"/>
      <c r="J327" s="54">
        <v>4705.48</v>
      </c>
      <c r="K327" s="54">
        <v>1843.75</v>
      </c>
      <c r="L327" s="17">
        <v>1843.75</v>
      </c>
      <c r="M327" s="17">
        <v>3687.5</v>
      </c>
      <c r="N327" s="17">
        <v>3687.5</v>
      </c>
      <c r="O327" s="17">
        <v>3687.5</v>
      </c>
    </row>
    <row r="328" spans="2:15" ht="18.75">
      <c r="B328" s="596" t="s">
        <v>452</v>
      </c>
      <c r="C328" s="596"/>
      <c r="D328" s="31"/>
      <c r="E328" s="31"/>
      <c r="F328" s="31"/>
      <c r="G328" s="31"/>
      <c r="H328" s="517">
        <v>5568.24</v>
      </c>
      <c r="I328" s="54">
        <v>5568.24</v>
      </c>
      <c r="J328" s="54">
        <v>2679.5</v>
      </c>
      <c r="K328" s="54">
        <v>2679.5</v>
      </c>
      <c r="L328" s="17">
        <v>2679.5</v>
      </c>
      <c r="M328" s="17">
        <v>56247.14</v>
      </c>
      <c r="N328" s="17">
        <v>32484.58</v>
      </c>
      <c r="O328" s="17">
        <v>54322.16</v>
      </c>
    </row>
    <row r="329" spans="2:15" ht="18.75">
      <c r="B329" s="596" t="s">
        <v>453</v>
      </c>
      <c r="C329" s="596"/>
      <c r="D329" s="31"/>
      <c r="E329" s="31"/>
      <c r="F329" s="31"/>
      <c r="G329" s="31"/>
      <c r="H329" s="517">
        <v>51804.72</v>
      </c>
      <c r="I329" s="54">
        <v>45941.01</v>
      </c>
      <c r="J329" s="54">
        <v>78910.01</v>
      </c>
      <c r="K329" s="54">
        <v>63364.01</v>
      </c>
      <c r="L329" s="17">
        <v>63364.01</v>
      </c>
      <c r="M329" s="17">
        <v>16554.97</v>
      </c>
      <c r="N329" s="17">
        <v>47226.56</v>
      </c>
      <c r="O329" s="17">
        <v>31368.32</v>
      </c>
    </row>
    <row r="330" spans="2:15" ht="18.75" hidden="1">
      <c r="B330" s="596" t="s">
        <v>454</v>
      </c>
      <c r="C330" s="596"/>
      <c r="D330" s="31"/>
      <c r="E330" s="31"/>
      <c r="F330" s="31"/>
      <c r="G330" s="31"/>
      <c r="H330" s="517"/>
      <c r="I330" s="54"/>
      <c r="J330" s="54">
        <v>19874.51</v>
      </c>
      <c r="K330" s="54">
        <v>27014.23</v>
      </c>
      <c r="L330" s="17">
        <v>27014.23</v>
      </c>
      <c r="M330" s="17">
        <v>13105.38</v>
      </c>
      <c r="N330" s="17">
        <v>25243.4</v>
      </c>
      <c r="O330" s="17">
        <v>23549.85</v>
      </c>
    </row>
    <row r="331" spans="2:15" ht="18.75">
      <c r="B331" s="596" t="s">
        <v>455</v>
      </c>
      <c r="C331" s="596"/>
      <c r="D331" s="31"/>
      <c r="E331" s="31"/>
      <c r="F331" s="31"/>
      <c r="G331" s="31"/>
      <c r="H331" s="517">
        <v>9544.05</v>
      </c>
      <c r="I331" s="54">
        <v>40201.92</v>
      </c>
      <c r="J331" s="54">
        <v>47941.52</v>
      </c>
      <c r="K331" s="54">
        <v>29902.25</v>
      </c>
      <c r="L331" s="17">
        <v>29902.25</v>
      </c>
      <c r="M331" s="17"/>
      <c r="N331" s="17">
        <v>1678.66</v>
      </c>
      <c r="O331" s="17"/>
    </row>
    <row r="332" spans="2:15" ht="18.75" hidden="1">
      <c r="B332" s="596" t="s">
        <v>456</v>
      </c>
      <c r="C332" s="596"/>
      <c r="D332" s="31"/>
      <c r="E332" s="31"/>
      <c r="F332" s="31"/>
      <c r="G332" s="31"/>
      <c r="H332" s="517"/>
      <c r="I332" s="54"/>
      <c r="J332" s="54">
        <v>4168.93</v>
      </c>
      <c r="K332" s="54">
        <v>1843.75</v>
      </c>
      <c r="L332" s="17">
        <v>1843.75</v>
      </c>
      <c r="M332" s="17">
        <v>7707.77</v>
      </c>
      <c r="N332" s="17">
        <v>3687.5</v>
      </c>
      <c r="O332" s="17">
        <v>3687.5</v>
      </c>
    </row>
    <row r="333" spans="2:15" ht="18.75" hidden="1">
      <c r="B333" s="596" t="s">
        <v>457</v>
      </c>
      <c r="C333" s="596"/>
      <c r="D333" s="31"/>
      <c r="E333" s="31"/>
      <c r="F333" s="31"/>
      <c r="G333" s="31"/>
      <c r="H333" s="517"/>
      <c r="I333" s="54"/>
      <c r="J333" s="54">
        <v>2679.5</v>
      </c>
      <c r="K333" s="54">
        <v>2679.5</v>
      </c>
      <c r="L333" s="17">
        <v>2679.5</v>
      </c>
      <c r="M333" s="17">
        <v>91914.74</v>
      </c>
      <c r="N333" s="17">
        <v>55849.82</v>
      </c>
      <c r="O333" s="17">
        <v>91914.74</v>
      </c>
    </row>
    <row r="334" spans="2:15" ht="18.75" hidden="1">
      <c r="B334" s="596" t="s">
        <v>458</v>
      </c>
      <c r="C334" s="596"/>
      <c r="D334" s="31"/>
      <c r="E334" s="31"/>
      <c r="F334" s="31"/>
      <c r="G334" s="31"/>
      <c r="H334" s="517"/>
      <c r="I334" s="54"/>
      <c r="J334" s="54">
        <v>2378.42</v>
      </c>
      <c r="K334" s="54">
        <v>18821</v>
      </c>
      <c r="L334" s="17">
        <v>18821</v>
      </c>
      <c r="M334" s="17">
        <v>27775.98</v>
      </c>
      <c r="N334" s="17">
        <v>18821</v>
      </c>
      <c r="O334" s="17">
        <v>21795.46</v>
      </c>
    </row>
    <row r="335" spans="2:15" ht="18.75" hidden="1">
      <c r="B335" s="596" t="s">
        <v>459</v>
      </c>
      <c r="C335" s="596"/>
      <c r="D335" s="31"/>
      <c r="E335" s="31"/>
      <c r="F335" s="31"/>
      <c r="G335" s="31"/>
      <c r="H335" s="517"/>
      <c r="I335" s="54"/>
      <c r="J335" s="54">
        <v>5133.63</v>
      </c>
      <c r="K335" s="54">
        <v>5575</v>
      </c>
      <c r="L335" s="17">
        <v>5575</v>
      </c>
      <c r="M335" s="17">
        <v>10693.75</v>
      </c>
      <c r="N335" s="17">
        <v>5575</v>
      </c>
      <c r="O335" s="17">
        <v>3935.5</v>
      </c>
    </row>
    <row r="336" spans="2:15" ht="18.75" hidden="1">
      <c r="B336" s="596" t="s">
        <v>586</v>
      </c>
      <c r="C336" s="596"/>
      <c r="D336" s="31"/>
      <c r="E336" s="31"/>
      <c r="F336" s="31"/>
      <c r="G336" s="31"/>
      <c r="H336" s="517"/>
      <c r="I336" s="54"/>
      <c r="J336" s="54">
        <v>1219.8</v>
      </c>
      <c r="K336" s="54">
        <v>4269.27</v>
      </c>
      <c r="L336" s="17">
        <v>4269.27</v>
      </c>
      <c r="M336" s="17">
        <v>7625.91</v>
      </c>
      <c r="N336" s="17"/>
      <c r="O336" s="17">
        <v>2315.46</v>
      </c>
    </row>
    <row r="337" spans="2:15" ht="18.75" hidden="1">
      <c r="B337" s="596" t="s">
        <v>479</v>
      </c>
      <c r="C337" s="596"/>
      <c r="D337" s="31"/>
      <c r="E337" s="31"/>
      <c r="F337" s="31"/>
      <c r="G337" s="31"/>
      <c r="H337" s="517"/>
      <c r="I337" s="54"/>
      <c r="J337" s="54"/>
      <c r="K337" s="54"/>
      <c r="L337" s="17"/>
      <c r="M337" s="17"/>
      <c r="N337" s="17"/>
      <c r="O337" s="17"/>
    </row>
    <row r="338" spans="2:15" ht="18.75" hidden="1">
      <c r="B338" s="596" t="s">
        <v>7</v>
      </c>
      <c r="C338" s="596"/>
      <c r="D338" s="31"/>
      <c r="E338" s="31"/>
      <c r="F338" s="31"/>
      <c r="G338" s="31"/>
      <c r="H338" s="517"/>
      <c r="I338" s="54"/>
      <c r="J338" s="54"/>
      <c r="K338" s="54"/>
      <c r="L338" s="17"/>
      <c r="M338" s="17"/>
      <c r="N338" s="17"/>
      <c r="O338" s="17"/>
    </row>
    <row r="339" spans="2:15" ht="18.75" hidden="1">
      <c r="B339" s="596" t="s">
        <v>589</v>
      </c>
      <c r="C339" s="596"/>
      <c r="D339" s="31"/>
      <c r="E339" s="31"/>
      <c r="F339" s="31"/>
      <c r="G339" s="31"/>
      <c r="H339" s="517"/>
      <c r="I339" s="54"/>
      <c r="J339" s="54"/>
      <c r="K339" s="54">
        <v>735.04</v>
      </c>
      <c r="L339" s="17">
        <v>735.04</v>
      </c>
      <c r="M339" s="17"/>
      <c r="N339" s="17"/>
      <c r="O339" s="17"/>
    </row>
    <row r="340" spans="2:15" ht="18.75">
      <c r="B340" s="596" t="s">
        <v>657</v>
      </c>
      <c r="C340" s="596"/>
      <c r="D340" s="31"/>
      <c r="E340" s="31"/>
      <c r="F340" s="31"/>
      <c r="G340" s="31"/>
      <c r="H340" s="517"/>
      <c r="I340" s="54">
        <v>24784.32</v>
      </c>
      <c r="J340" s="54">
        <v>20653.6</v>
      </c>
      <c r="K340" s="54"/>
      <c r="L340" s="17"/>
      <c r="M340" s="17"/>
      <c r="N340" s="17"/>
      <c r="O340" s="17"/>
    </row>
    <row r="341" spans="2:15" ht="18.75">
      <c r="B341" s="596" t="s">
        <v>658</v>
      </c>
      <c r="C341" s="596"/>
      <c r="D341" s="31"/>
      <c r="E341" s="31"/>
      <c r="F341" s="31"/>
      <c r="G341" s="31"/>
      <c r="H341" s="517">
        <v>14603.89</v>
      </c>
      <c r="I341" s="54">
        <v>45262.08</v>
      </c>
      <c r="J341" s="54">
        <v>15087.36</v>
      </c>
      <c r="K341" s="57">
        <v>437.5</v>
      </c>
      <c r="L341" s="17"/>
      <c r="M341" s="17"/>
      <c r="N341" s="17"/>
      <c r="O341" s="17"/>
    </row>
    <row r="342" spans="2:15" ht="18.75">
      <c r="B342" s="596" t="s">
        <v>8</v>
      </c>
      <c r="C342" s="596"/>
      <c r="D342" s="31"/>
      <c r="E342" s="31"/>
      <c r="F342" s="31"/>
      <c r="G342" s="31"/>
      <c r="H342" s="517">
        <v>137272.6</v>
      </c>
      <c r="I342" s="54">
        <v>102155.66</v>
      </c>
      <c r="J342" s="54">
        <v>129974.8</v>
      </c>
      <c r="K342" s="54">
        <v>115261.33</v>
      </c>
      <c r="L342" s="17">
        <v>115261.33</v>
      </c>
      <c r="M342" s="17">
        <v>89807.97</v>
      </c>
      <c r="N342" s="17">
        <v>141141.83</v>
      </c>
      <c r="O342" s="17">
        <v>111798.12</v>
      </c>
    </row>
    <row r="343" spans="2:15" ht="18.75" hidden="1">
      <c r="B343" s="596" t="s">
        <v>461</v>
      </c>
      <c r="C343" s="596"/>
      <c r="D343" s="31"/>
      <c r="E343" s="31"/>
      <c r="F343" s="31"/>
      <c r="G343" s="31"/>
      <c r="H343" s="517"/>
      <c r="I343" s="54"/>
      <c r="J343" s="54">
        <v>1859.9</v>
      </c>
      <c r="K343" s="54">
        <v>1859.9</v>
      </c>
      <c r="L343" s="17">
        <v>1859.9</v>
      </c>
      <c r="M343" s="17">
        <v>19932.67</v>
      </c>
      <c r="N343" s="17">
        <v>21744.83</v>
      </c>
      <c r="O343" s="17">
        <v>21744.83</v>
      </c>
    </row>
    <row r="344" spans="2:15" ht="18.75">
      <c r="B344" s="596" t="s">
        <v>462</v>
      </c>
      <c r="C344" s="596"/>
      <c r="D344" s="31"/>
      <c r="E344" s="31"/>
      <c r="F344" s="31"/>
      <c r="G344" s="31"/>
      <c r="H344" s="517">
        <v>2638.6</v>
      </c>
      <c r="I344" s="54">
        <v>5536.32</v>
      </c>
      <c r="J344" s="54">
        <v>5523.2</v>
      </c>
      <c r="K344" s="54">
        <v>1912.45</v>
      </c>
      <c r="L344" s="17">
        <v>1912.45</v>
      </c>
      <c r="M344" s="17">
        <v>7700.35</v>
      </c>
      <c r="N344" s="17">
        <v>9612.87</v>
      </c>
      <c r="O344" s="17">
        <v>8703.53</v>
      </c>
    </row>
    <row r="345" spans="2:15" ht="18.75" hidden="1">
      <c r="B345" s="596" t="s">
        <v>463</v>
      </c>
      <c r="C345" s="596"/>
      <c r="D345" s="31"/>
      <c r="E345" s="31"/>
      <c r="F345" s="31"/>
      <c r="G345" s="31"/>
      <c r="H345" s="517"/>
      <c r="I345" s="54"/>
      <c r="J345" s="54"/>
      <c r="K345" s="54">
        <v>0</v>
      </c>
      <c r="L345" s="17">
        <v>0</v>
      </c>
      <c r="M345" s="17">
        <v>4583.02</v>
      </c>
      <c r="N345" s="17">
        <v>4583.02</v>
      </c>
      <c r="O345" s="17">
        <v>4999.66</v>
      </c>
    </row>
    <row r="346" spans="2:15" ht="18.75">
      <c r="B346" s="596" t="s">
        <v>9</v>
      </c>
      <c r="C346" s="596"/>
      <c r="D346" s="31"/>
      <c r="E346" s="31"/>
      <c r="F346" s="31"/>
      <c r="G346" s="31"/>
      <c r="H346" s="517">
        <v>198.72</v>
      </c>
      <c r="I346" s="54">
        <v>198.72</v>
      </c>
      <c r="J346" s="54">
        <v>8863.4</v>
      </c>
      <c r="K346" s="54">
        <v>2831.62</v>
      </c>
      <c r="L346" s="17">
        <v>2831.62</v>
      </c>
      <c r="M346" s="17">
        <v>3074.06</v>
      </c>
      <c r="N346" s="17">
        <v>4736.25</v>
      </c>
      <c r="O346" s="17">
        <v>2987.19</v>
      </c>
    </row>
    <row r="347" spans="2:15" ht="18.75">
      <c r="B347" s="596" t="s">
        <v>10</v>
      </c>
      <c r="C347" s="596"/>
      <c r="D347" s="31"/>
      <c r="E347" s="31"/>
      <c r="F347" s="31"/>
      <c r="G347" s="31"/>
      <c r="H347" s="517">
        <v>13756.44</v>
      </c>
      <c r="I347" s="54">
        <v>13115.29</v>
      </c>
      <c r="J347" s="54">
        <v>18267.32</v>
      </c>
      <c r="K347" s="54">
        <v>12147.42</v>
      </c>
      <c r="L347" s="17">
        <v>12147.42</v>
      </c>
      <c r="M347" s="17">
        <v>14343.11</v>
      </c>
      <c r="N347" s="17">
        <v>13121.38</v>
      </c>
      <c r="O347" s="17">
        <v>12430.54</v>
      </c>
    </row>
    <row r="348" spans="2:15" ht="18.75">
      <c r="B348" s="596" t="s">
        <v>11</v>
      </c>
      <c r="C348" s="596"/>
      <c r="D348" s="31"/>
      <c r="E348" s="31"/>
      <c r="F348" s="31"/>
      <c r="G348" s="31"/>
      <c r="H348" s="517">
        <v>699.36</v>
      </c>
      <c r="I348" s="54">
        <v>699.36</v>
      </c>
      <c r="J348" s="54">
        <v>2643.78</v>
      </c>
      <c r="K348" s="54">
        <v>2998.9</v>
      </c>
      <c r="L348" s="17">
        <v>2998.9</v>
      </c>
      <c r="M348" s="17">
        <v>7684.99</v>
      </c>
      <c r="N348" s="17">
        <v>2998.9</v>
      </c>
      <c r="O348" s="17">
        <v>4842.28</v>
      </c>
    </row>
    <row r="349" spans="2:15" ht="18.75" hidden="1">
      <c r="B349" s="596" t="s">
        <v>12</v>
      </c>
      <c r="C349" s="596"/>
      <c r="D349" s="31"/>
      <c r="E349" s="31"/>
      <c r="F349" s="31"/>
      <c r="G349" s="31"/>
      <c r="H349" s="517"/>
      <c r="I349" s="54"/>
      <c r="J349" s="54"/>
      <c r="K349" s="54"/>
      <c r="L349" s="17"/>
      <c r="M349" s="17"/>
      <c r="N349" s="17"/>
      <c r="O349" s="17"/>
    </row>
    <row r="350" spans="2:15" ht="18.75" hidden="1">
      <c r="B350" s="596" t="s">
        <v>464</v>
      </c>
      <c r="C350" s="596"/>
      <c r="D350" s="31"/>
      <c r="E350" s="31"/>
      <c r="F350" s="31"/>
      <c r="G350" s="31"/>
      <c r="H350" s="517"/>
      <c r="I350" s="54"/>
      <c r="J350" s="54">
        <v>249.7</v>
      </c>
      <c r="K350" s="54"/>
      <c r="L350" s="17"/>
      <c r="M350" s="17">
        <v>1248.75</v>
      </c>
      <c r="N350" s="17"/>
      <c r="O350" s="17">
        <v>312.19</v>
      </c>
    </row>
    <row r="351" spans="2:15" ht="18.75" hidden="1">
      <c r="B351" s="596" t="s">
        <v>13</v>
      </c>
      <c r="C351" s="596"/>
      <c r="D351" s="31"/>
      <c r="E351" s="31"/>
      <c r="F351" s="31"/>
      <c r="G351" s="31"/>
      <c r="H351" s="517"/>
      <c r="I351" s="54"/>
      <c r="J351" s="54">
        <v>13735.44</v>
      </c>
      <c r="K351" s="54">
        <v>15534.18</v>
      </c>
      <c r="L351" s="17">
        <v>15534.18</v>
      </c>
      <c r="M351" s="17">
        <v>13025.36</v>
      </c>
      <c r="N351" s="17">
        <v>14387.29</v>
      </c>
      <c r="O351" s="17">
        <v>16104.18</v>
      </c>
    </row>
    <row r="352" spans="2:15" ht="18.75" hidden="1">
      <c r="B352" s="596" t="s">
        <v>14</v>
      </c>
      <c r="C352" s="596"/>
      <c r="D352" s="31"/>
      <c r="E352" s="31"/>
      <c r="F352" s="31"/>
      <c r="G352" s="31"/>
      <c r="H352" s="517"/>
      <c r="I352" s="54"/>
      <c r="J352" s="54">
        <v>324.7</v>
      </c>
      <c r="K352" s="54"/>
      <c r="L352" s="17"/>
      <c r="M352" s="17"/>
      <c r="N352" s="17"/>
      <c r="O352" s="17"/>
    </row>
    <row r="353" spans="2:15" ht="18.75">
      <c r="B353" s="596" t="s">
        <v>15</v>
      </c>
      <c r="C353" s="596"/>
      <c r="D353" s="31"/>
      <c r="E353" s="31"/>
      <c r="F353" s="31"/>
      <c r="G353" s="31"/>
      <c r="H353" s="517">
        <v>2950.72</v>
      </c>
      <c r="I353" s="54">
        <v>2855.56</v>
      </c>
      <c r="J353" s="54">
        <v>3295.22</v>
      </c>
      <c r="K353" s="54">
        <v>2429.47</v>
      </c>
      <c r="L353" s="17">
        <v>2429.47</v>
      </c>
      <c r="M353" s="17">
        <v>786.87</v>
      </c>
      <c r="N353" s="17">
        <v>2429.47</v>
      </c>
      <c r="O353" s="17">
        <v>1619.65</v>
      </c>
    </row>
    <row r="354" spans="2:15" ht="18.75" hidden="1">
      <c r="B354" s="596" t="s">
        <v>16</v>
      </c>
      <c r="C354" s="596"/>
      <c r="D354" s="31"/>
      <c r="E354" s="31"/>
      <c r="F354" s="31"/>
      <c r="G354" s="31"/>
      <c r="H354" s="517"/>
      <c r="I354" s="54"/>
      <c r="J354" s="54">
        <v>294.7</v>
      </c>
      <c r="K354" s="54"/>
      <c r="L354" s="17"/>
      <c r="M354" s="17"/>
      <c r="N354" s="17"/>
      <c r="O354" s="17"/>
    </row>
    <row r="355" spans="2:15" ht="18.75">
      <c r="B355" s="596" t="s">
        <v>465</v>
      </c>
      <c r="C355" s="596"/>
      <c r="D355" s="31"/>
      <c r="E355" s="31"/>
      <c r="F355" s="31"/>
      <c r="G355" s="31"/>
      <c r="H355" s="517">
        <v>549.96</v>
      </c>
      <c r="I355" s="54">
        <v>549.96</v>
      </c>
      <c r="J355" s="54">
        <v>274.98</v>
      </c>
      <c r="K355" s="54"/>
      <c r="L355" s="17"/>
      <c r="M355" s="17"/>
      <c r="N355" s="17"/>
      <c r="O355" s="17"/>
    </row>
    <row r="356" spans="2:15" ht="18.75">
      <c r="B356" s="596" t="s">
        <v>466</v>
      </c>
      <c r="C356" s="596"/>
      <c r="D356" s="31"/>
      <c r="E356" s="31"/>
      <c r="F356" s="31"/>
      <c r="G356" s="31"/>
      <c r="H356" s="517">
        <v>166781.4</v>
      </c>
      <c r="I356" s="54">
        <v>166781.4</v>
      </c>
      <c r="J356" s="54">
        <v>166781.43</v>
      </c>
      <c r="K356" s="54">
        <v>0</v>
      </c>
      <c r="L356" s="17">
        <v>0</v>
      </c>
      <c r="M356" s="17">
        <v>74777.06</v>
      </c>
      <c r="N356" s="17">
        <v>0</v>
      </c>
      <c r="O356" s="17">
        <v>19422.05</v>
      </c>
    </row>
    <row r="357" spans="2:15" ht="18.75" hidden="1">
      <c r="B357" s="596" t="s">
        <v>17</v>
      </c>
      <c r="C357" s="596"/>
      <c r="D357" s="31"/>
      <c r="E357" s="31"/>
      <c r="F357" s="31"/>
      <c r="G357" s="31"/>
      <c r="H357" s="517"/>
      <c r="I357" s="54"/>
      <c r="J357" s="54"/>
      <c r="K357" s="54"/>
      <c r="L357" s="17"/>
      <c r="M357" s="17"/>
      <c r="N357" s="17"/>
      <c r="O357" s="17"/>
    </row>
    <row r="358" spans="2:15" ht="18.75" hidden="1">
      <c r="B358" s="596" t="s">
        <v>18</v>
      </c>
      <c r="C358" s="596"/>
      <c r="D358" s="31"/>
      <c r="E358" s="31"/>
      <c r="F358" s="31"/>
      <c r="G358" s="31"/>
      <c r="H358" s="517"/>
      <c r="I358" s="54"/>
      <c r="J358" s="54"/>
      <c r="K358" s="54"/>
      <c r="L358" s="17"/>
      <c r="M358" s="17"/>
      <c r="N358" s="17"/>
      <c r="O358" s="17"/>
    </row>
    <row r="359" spans="2:15" ht="18.75" hidden="1">
      <c r="B359" s="596" t="s">
        <v>19</v>
      </c>
      <c r="C359" s="596"/>
      <c r="D359" s="31"/>
      <c r="E359" s="31"/>
      <c r="F359" s="31"/>
      <c r="G359" s="31"/>
      <c r="H359" s="517"/>
      <c r="I359" s="54"/>
      <c r="J359" s="54"/>
      <c r="K359" s="54">
        <v>0</v>
      </c>
      <c r="L359" s="17">
        <v>0</v>
      </c>
      <c r="M359" s="17"/>
      <c r="N359" s="17">
        <v>5896.11</v>
      </c>
      <c r="O359" s="17">
        <v>3537.66</v>
      </c>
    </row>
    <row r="360" spans="2:15" ht="18.75" hidden="1">
      <c r="B360" s="596" t="s">
        <v>467</v>
      </c>
      <c r="C360" s="596"/>
      <c r="D360" s="31"/>
      <c r="E360" s="31"/>
      <c r="F360" s="31"/>
      <c r="G360" s="31"/>
      <c r="H360" s="517"/>
      <c r="I360" s="54"/>
      <c r="J360" s="54">
        <v>13952.9</v>
      </c>
      <c r="K360" s="54">
        <v>30696.35</v>
      </c>
      <c r="L360" s="17">
        <v>0</v>
      </c>
      <c r="M360" s="17">
        <v>28301.28</v>
      </c>
      <c r="N360" s="17">
        <v>5896.11</v>
      </c>
      <c r="O360" s="17">
        <v>24763.62</v>
      </c>
    </row>
    <row r="361" spans="2:15" ht="18.75">
      <c r="B361" s="596" t="s">
        <v>460</v>
      </c>
      <c r="C361" s="596"/>
      <c r="D361" s="31"/>
      <c r="E361" s="31"/>
      <c r="F361" s="31"/>
      <c r="G361" s="31"/>
      <c r="H361" s="517">
        <v>153352.48</v>
      </c>
      <c r="I361" s="54">
        <v>144525.5</v>
      </c>
      <c r="J361" s="54">
        <v>271973.44</v>
      </c>
      <c r="K361" s="54">
        <v>228416.67</v>
      </c>
      <c r="L361" s="17">
        <f>30696.35+228416.67</f>
        <v>259113.02000000002</v>
      </c>
      <c r="M361" s="17">
        <v>237426.57</v>
      </c>
      <c r="N361" s="17">
        <v>262675.73</v>
      </c>
      <c r="O361" s="17">
        <v>275194.46</v>
      </c>
    </row>
    <row r="362" spans="2:15" ht="18.75" hidden="1">
      <c r="B362" s="596" t="s">
        <v>468</v>
      </c>
      <c r="C362" s="596"/>
      <c r="D362" s="31"/>
      <c r="E362" s="31"/>
      <c r="F362" s="31"/>
      <c r="G362" s="31"/>
      <c r="H362" s="517"/>
      <c r="I362" s="54"/>
      <c r="J362" s="54"/>
      <c r="K362" s="54"/>
      <c r="L362" s="17"/>
      <c r="M362" s="17"/>
      <c r="N362" s="17"/>
      <c r="O362" s="17"/>
    </row>
    <row r="363" spans="2:15" ht="18.75" hidden="1">
      <c r="B363" s="596" t="s">
        <v>469</v>
      </c>
      <c r="C363" s="596"/>
      <c r="D363" s="31"/>
      <c r="E363" s="31"/>
      <c r="F363" s="31"/>
      <c r="G363" s="31"/>
      <c r="H363" s="517"/>
      <c r="I363" s="54"/>
      <c r="J363" s="54"/>
      <c r="K363" s="54"/>
      <c r="L363" s="17"/>
      <c r="M363" s="17"/>
      <c r="N363" s="17"/>
      <c r="O363" s="17"/>
    </row>
    <row r="364" spans="2:15" ht="18.75" hidden="1">
      <c r="B364" s="596" t="s">
        <v>470</v>
      </c>
      <c r="C364" s="596"/>
      <c r="D364" s="31"/>
      <c r="E364" s="31"/>
      <c r="F364" s="31"/>
      <c r="G364" s="31"/>
      <c r="H364" s="517"/>
      <c r="I364" s="54"/>
      <c r="J364" s="54"/>
      <c r="K364" s="54"/>
      <c r="L364" s="17"/>
      <c r="M364" s="17"/>
      <c r="N364" s="17"/>
      <c r="O364" s="17"/>
    </row>
    <row r="365" spans="2:15" ht="18.75">
      <c r="B365" s="596" t="s">
        <v>471</v>
      </c>
      <c r="C365" s="596"/>
      <c r="D365" s="31"/>
      <c r="E365" s="31"/>
      <c r="F365" s="31"/>
      <c r="G365" s="31"/>
      <c r="H365" s="517">
        <v>5902615.33</v>
      </c>
      <c r="I365" s="54">
        <v>5859813.48</v>
      </c>
      <c r="J365" s="54">
        <v>5862226.34</v>
      </c>
      <c r="K365" s="54">
        <v>5859813.53</v>
      </c>
      <c r="L365" s="17">
        <v>5823870.96</v>
      </c>
      <c r="M365" s="17">
        <v>5598423.12</v>
      </c>
      <c r="N365" s="17">
        <v>5788880.16</v>
      </c>
      <c r="O365" s="17">
        <v>5611645.92</v>
      </c>
    </row>
    <row r="366" spans="2:15" ht="18.75" hidden="1">
      <c r="B366" s="596" t="s">
        <v>472</v>
      </c>
      <c r="C366" s="596"/>
      <c r="D366" s="31"/>
      <c r="E366" s="31"/>
      <c r="F366" s="31"/>
      <c r="G366" s="31"/>
      <c r="H366" s="517"/>
      <c r="I366" s="54"/>
      <c r="J366" s="54"/>
      <c r="K366" s="54"/>
      <c r="L366" s="17"/>
      <c r="M366" s="17"/>
      <c r="N366" s="17"/>
      <c r="O366" s="17"/>
    </row>
    <row r="367" spans="2:51" s="514" customFormat="1" ht="18.75">
      <c r="B367" s="596" t="s">
        <v>691</v>
      </c>
      <c r="C367" s="596"/>
      <c r="D367" s="31"/>
      <c r="E367" s="31"/>
      <c r="F367" s="31"/>
      <c r="G367" s="31"/>
      <c r="H367" s="517">
        <v>1968.48</v>
      </c>
      <c r="I367" s="54">
        <v>164.04</v>
      </c>
      <c r="J367" s="517"/>
      <c r="K367" s="517"/>
      <c r="L367" s="516"/>
      <c r="M367" s="516"/>
      <c r="N367" s="516"/>
      <c r="O367" s="516"/>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515"/>
      <c r="AV367" s="515"/>
      <c r="AW367" s="515"/>
      <c r="AX367" s="515"/>
      <c r="AY367" s="515"/>
    </row>
    <row r="368" spans="2:15" ht="18.75">
      <c r="B368" s="596" t="s">
        <v>473</v>
      </c>
      <c r="C368" s="596"/>
      <c r="D368" s="31"/>
      <c r="E368" s="31"/>
      <c r="F368" s="31"/>
      <c r="G368" s="31"/>
      <c r="H368" s="517">
        <v>2462755.18</v>
      </c>
      <c r="I368" s="54">
        <v>2246970.24</v>
      </c>
      <c r="J368" s="54">
        <v>2908111.34</v>
      </c>
      <c r="K368" s="54">
        <v>551200.36</v>
      </c>
      <c r="L368" s="17">
        <v>551200.36</v>
      </c>
      <c r="M368" s="17">
        <v>1475527.13</v>
      </c>
      <c r="N368" s="17">
        <v>820814.7</v>
      </c>
      <c r="O368" s="17">
        <v>1104590.98</v>
      </c>
    </row>
    <row r="369" spans="2:15" ht="18.75">
      <c r="B369" s="596" t="s">
        <v>587</v>
      </c>
      <c r="C369" s="596"/>
      <c r="D369" s="31"/>
      <c r="E369" s="31"/>
      <c r="F369" s="31"/>
      <c r="G369" s="31"/>
      <c r="H369" s="517">
        <v>3549.36</v>
      </c>
      <c r="I369" s="54">
        <v>3549.36</v>
      </c>
      <c r="J369" s="54">
        <v>2514.18</v>
      </c>
      <c r="K369" s="54">
        <v>2588.25</v>
      </c>
      <c r="L369" s="17">
        <v>2588.25</v>
      </c>
      <c r="M369" s="17"/>
      <c r="N369" s="17"/>
      <c r="O369" s="17"/>
    </row>
    <row r="370" spans="2:15" ht="15" hidden="1">
      <c r="B370" s="31" t="s">
        <v>588</v>
      </c>
      <c r="C370" s="31"/>
      <c r="D370" s="31"/>
      <c r="E370" s="31"/>
      <c r="F370" s="31"/>
      <c r="G370" s="31"/>
      <c r="H370" s="517"/>
      <c r="I370" s="54"/>
      <c r="J370" s="54">
        <v>10616.08</v>
      </c>
      <c r="K370" s="54">
        <v>21232.13</v>
      </c>
      <c r="L370" s="17">
        <v>21232.13</v>
      </c>
      <c r="M370" s="17"/>
      <c r="N370" s="17"/>
      <c r="O370" s="17"/>
    </row>
    <row r="371" spans="2:15" ht="15" hidden="1">
      <c r="B371" s="31" t="s">
        <v>474</v>
      </c>
      <c r="C371" s="31"/>
      <c r="D371" s="31"/>
      <c r="E371" s="31"/>
      <c r="F371" s="31"/>
      <c r="G371" s="31"/>
      <c r="H371" s="517"/>
      <c r="I371" s="54"/>
      <c r="J371" s="54"/>
      <c r="K371" s="54">
        <v>0</v>
      </c>
      <c r="L371" s="17">
        <v>0</v>
      </c>
      <c r="M371" s="17">
        <v>786512.7</v>
      </c>
      <c r="N371" s="17">
        <v>2516840.64</v>
      </c>
      <c r="O371" s="17">
        <v>629210.16</v>
      </c>
    </row>
    <row r="372" spans="2:15" ht="15" hidden="1">
      <c r="B372" s="31"/>
      <c r="C372" s="31"/>
      <c r="D372" s="31"/>
      <c r="E372" s="31"/>
      <c r="F372" s="31"/>
      <c r="G372" s="31"/>
      <c r="H372" s="517"/>
      <c r="I372" s="54"/>
      <c r="J372" s="54"/>
      <c r="K372" s="54"/>
      <c r="L372" s="17"/>
      <c r="M372" s="17"/>
      <c r="N372" s="17"/>
      <c r="O372" s="17"/>
    </row>
    <row r="373" spans="2:16" ht="15" hidden="1">
      <c r="B373" s="31" t="s">
        <v>475</v>
      </c>
      <c r="C373" s="31"/>
      <c r="D373" s="31"/>
      <c r="E373" s="31"/>
      <c r="F373" s="31"/>
      <c r="G373" s="31"/>
      <c r="H373" s="517"/>
      <c r="I373" s="54"/>
      <c r="J373" s="57">
        <v>7436.7</v>
      </c>
      <c r="K373" s="57">
        <v>14873.34</v>
      </c>
      <c r="L373" s="13">
        <v>14873.34</v>
      </c>
      <c r="M373" s="13">
        <v>14873.34</v>
      </c>
      <c r="N373" s="13">
        <v>14873.34</v>
      </c>
      <c r="O373" s="99">
        <v>14873.34</v>
      </c>
      <c r="P373" s="8"/>
    </row>
    <row r="374" spans="2:23" ht="15.75" thickBot="1">
      <c r="B374" s="572" t="s">
        <v>576</v>
      </c>
      <c r="C374" s="400"/>
      <c r="D374" s="400"/>
      <c r="E374" s="400"/>
      <c r="F374" s="400"/>
      <c r="G374" s="400"/>
      <c r="H374" s="573">
        <f>SUM(H283:H373)</f>
        <v>15997928.38</v>
      </c>
      <c r="I374" s="213">
        <f>SUM(I283:I373)</f>
        <v>15731967.88</v>
      </c>
      <c r="J374" s="213">
        <f aca="true" t="shared" si="2" ref="J374:O374">SUM(J283:J373)</f>
        <v>17522395.13</v>
      </c>
      <c r="K374" s="213">
        <f t="shared" si="2"/>
        <v>11761503.92</v>
      </c>
      <c r="L374" s="39">
        <f t="shared" si="2"/>
        <v>11684069.160000002</v>
      </c>
      <c r="M374" s="39">
        <f t="shared" si="2"/>
        <v>12932895.34</v>
      </c>
      <c r="N374" s="39">
        <f t="shared" si="2"/>
        <v>14010282.73</v>
      </c>
      <c r="O374" s="39">
        <f t="shared" si="2"/>
        <v>11832803.59</v>
      </c>
      <c r="R374" s="591">
        <v>13656073.77</v>
      </c>
      <c r="S374" s="591">
        <f>R374-13529655.36</f>
        <v>126418.41000000015</v>
      </c>
      <c r="T374" s="591"/>
      <c r="U374" s="591"/>
      <c r="V374" s="591"/>
      <c r="W374" s="591"/>
    </row>
    <row r="375" spans="2:22" ht="16.5" thickBot="1" thickTop="1">
      <c r="B375" s="37"/>
      <c r="C375" s="37"/>
      <c r="D375" s="37"/>
      <c r="E375" s="37"/>
      <c r="F375" s="37"/>
      <c r="G375" s="37"/>
      <c r="H375" s="37"/>
      <c r="I375" s="37"/>
      <c r="J375" s="37"/>
      <c r="K375" s="37"/>
      <c r="L375" s="37"/>
      <c r="M375" s="17"/>
      <c r="N375" s="17"/>
      <c r="O375" s="17"/>
      <c r="T375" s="591"/>
      <c r="U375" s="591"/>
      <c r="V375" s="591"/>
    </row>
    <row r="376" spans="2:16" ht="16.5" thickBot="1">
      <c r="B376" s="40" t="s">
        <v>476</v>
      </c>
      <c r="C376" s="41"/>
      <c r="D376" s="41"/>
      <c r="E376" s="41"/>
      <c r="F376" s="41"/>
      <c r="G376" s="41"/>
      <c r="H376" s="219">
        <f>+H48+H160+H222+H268+H374+H134</f>
        <v>516971090.21999997</v>
      </c>
      <c r="I376" s="220">
        <f>+I48+I160+I222+I268+I374</f>
        <v>402665397.29999995</v>
      </c>
      <c r="J376" s="219">
        <f>+J48+J160+J222+J268+J374</f>
        <v>373880151.59000003</v>
      </c>
      <c r="K376" s="220">
        <f>+K48+K160+K222+K268+K374</f>
        <v>380796127.3500001</v>
      </c>
      <c r="L376" s="43">
        <f>+L48+L160+L222+L268+L374</f>
        <v>344278119.43999994</v>
      </c>
      <c r="M376" s="43">
        <f>+M48+M160+M222+M253+M266+M374</f>
        <v>313301384.4000001</v>
      </c>
      <c r="N376" s="43">
        <f>+N48+N160+N222+N268+N374</f>
        <v>319854380.21</v>
      </c>
      <c r="O376" s="43">
        <f>+O48+O160+O222+O253+O266+O374</f>
        <v>312601690.9499999</v>
      </c>
      <c r="P376" s="4"/>
    </row>
    <row r="377" spans="8:14" ht="15">
      <c r="H377" s="209"/>
      <c r="I377" s="447"/>
      <c r="M377" s="17"/>
      <c r="N377" s="17"/>
    </row>
    <row r="378" spans="2:12" ht="15">
      <c r="B378" s="613" t="s">
        <v>692</v>
      </c>
      <c r="C378" s="613"/>
      <c r="D378" s="613"/>
      <c r="E378" s="613"/>
      <c r="F378" s="613"/>
      <c r="G378" s="613"/>
      <c r="H378" s="613"/>
      <c r="I378" s="613"/>
      <c r="J378" s="613"/>
      <c r="K378" s="613"/>
      <c r="L378" s="613"/>
    </row>
    <row r="379" spans="2:12" ht="15">
      <c r="B379" s="613"/>
      <c r="C379" s="613"/>
      <c r="D379" s="613"/>
      <c r="E379" s="613"/>
      <c r="F379" s="613"/>
      <c r="G379" s="613"/>
      <c r="H379" s="613"/>
      <c r="I379" s="613"/>
      <c r="J379" s="613"/>
      <c r="K379" s="613"/>
      <c r="L379" s="613"/>
    </row>
    <row r="380" spans="2:12" ht="15">
      <c r="B380" s="613"/>
      <c r="C380" s="613"/>
      <c r="D380" s="613"/>
      <c r="E380" s="613"/>
      <c r="F380" s="613"/>
      <c r="G380" s="613"/>
      <c r="H380" s="613"/>
      <c r="I380" s="613"/>
      <c r="J380" s="613"/>
      <c r="K380" s="613"/>
      <c r="L380" s="613"/>
    </row>
    <row r="381" spans="2:12" ht="15">
      <c r="B381" s="613"/>
      <c r="C381" s="613"/>
      <c r="D381" s="613"/>
      <c r="E381" s="613"/>
      <c r="F381" s="613"/>
      <c r="G381" s="613"/>
      <c r="H381" s="613"/>
      <c r="I381" s="613"/>
      <c r="J381" s="613"/>
      <c r="K381" s="613"/>
      <c r="L381" s="613"/>
    </row>
    <row r="382" spans="2:12" ht="15">
      <c r="B382" s="613"/>
      <c r="C382" s="613"/>
      <c r="D382" s="613"/>
      <c r="E382" s="613"/>
      <c r="F382" s="613"/>
      <c r="G382" s="613"/>
      <c r="H382" s="613"/>
      <c r="I382" s="613"/>
      <c r="J382" s="613"/>
      <c r="K382" s="613"/>
      <c r="L382" s="613"/>
    </row>
    <row r="384" ht="15">
      <c r="P384" s="51"/>
    </row>
    <row r="386" ht="15">
      <c r="I386" s="516"/>
    </row>
    <row r="388" spans="8:16" ht="15">
      <c r="H388" s="174">
        <f>+H368+H369</f>
        <v>2466304.54</v>
      </c>
      <c r="I388" s="174">
        <f>+I368+I369</f>
        <v>2250519.6</v>
      </c>
      <c r="J388" s="194"/>
      <c r="K388" s="194"/>
      <c r="L388" s="194"/>
      <c r="M388" s="194"/>
      <c r="N388" s="194"/>
      <c r="O388" s="194"/>
      <c r="P388" s="194"/>
    </row>
    <row r="389" spans="8:16" ht="15">
      <c r="H389" s="354">
        <f>+H374-H388</f>
        <v>13531623.84</v>
      </c>
      <c r="I389" s="194"/>
      <c r="J389" s="194"/>
      <c r="K389" s="194"/>
      <c r="L389" s="194"/>
      <c r="M389" s="194"/>
      <c r="N389" s="194"/>
      <c r="O389" s="194"/>
      <c r="P389" s="194"/>
    </row>
    <row r="395" ht="15">
      <c r="P395" s="29"/>
    </row>
    <row r="399" ht="15">
      <c r="P399" s="51"/>
    </row>
    <row r="410" ht="15">
      <c r="P410" s="29"/>
    </row>
    <row r="414" ht="15">
      <c r="P414" s="51"/>
    </row>
    <row r="426" ht="15">
      <c r="P426" s="29"/>
    </row>
    <row r="431" ht="15">
      <c r="P431" s="51"/>
    </row>
    <row r="444" ht="15">
      <c r="P444" s="29"/>
    </row>
    <row r="448" ht="15">
      <c r="P448" s="51"/>
    </row>
    <row r="461" ht="15">
      <c r="P461" s="29"/>
    </row>
    <row r="465" ht="15">
      <c r="P465" s="51"/>
    </row>
    <row r="476" spans="13:14" ht="15">
      <c r="M476" s="17"/>
      <c r="N476" s="17"/>
    </row>
    <row r="477" spans="13:14" ht="15">
      <c r="M477" s="17"/>
      <c r="N477" s="17"/>
    </row>
    <row r="478" spans="13:16" ht="15">
      <c r="M478" s="17"/>
      <c r="N478" s="17"/>
      <c r="P478" s="29"/>
    </row>
    <row r="479" spans="13:14" ht="15">
      <c r="M479" s="17"/>
      <c r="N479" s="17"/>
    </row>
    <row r="480" spans="13:14" ht="15">
      <c r="M480" s="17"/>
      <c r="N480" s="17"/>
    </row>
    <row r="481" spans="13:14" ht="15">
      <c r="M481" s="17"/>
      <c r="N481" s="17"/>
    </row>
    <row r="482" spans="13:14" ht="15">
      <c r="M482" s="17"/>
      <c r="N482" s="17"/>
    </row>
    <row r="483" spans="13:16" ht="15">
      <c r="M483" s="17"/>
      <c r="N483" s="17"/>
      <c r="P483" s="51"/>
    </row>
    <row r="484" spans="13:14" ht="15">
      <c r="M484" s="17"/>
      <c r="N484" s="17"/>
    </row>
    <row r="485" spans="13:14" ht="15">
      <c r="M485" s="17"/>
      <c r="N485" s="17"/>
    </row>
    <row r="486" spans="13:14" ht="15">
      <c r="M486" s="17"/>
      <c r="N486" s="17"/>
    </row>
    <row r="487" spans="13:14" ht="15">
      <c r="M487" s="17"/>
      <c r="N487" s="17"/>
    </row>
    <row r="488" spans="13:14" ht="15">
      <c r="M488" s="17"/>
      <c r="N488" s="17"/>
    </row>
    <row r="489" spans="13:14" ht="15">
      <c r="M489" s="17"/>
      <c r="N489" s="17"/>
    </row>
    <row r="490" spans="13:14" ht="15">
      <c r="M490" s="17"/>
      <c r="N490" s="17"/>
    </row>
    <row r="491" spans="13:14" ht="15">
      <c r="M491" s="17"/>
      <c r="N491" s="17"/>
    </row>
    <row r="492" spans="13:14" ht="15">
      <c r="M492" s="17"/>
      <c r="N492" s="17"/>
    </row>
    <row r="493" spans="13:14" ht="15">
      <c r="M493" s="17"/>
      <c r="N493" s="17"/>
    </row>
    <row r="494" spans="13:14" ht="15">
      <c r="M494" s="17"/>
      <c r="N494" s="17"/>
    </row>
    <row r="495" spans="13:14" ht="15">
      <c r="M495" s="17"/>
      <c r="N495" s="17"/>
    </row>
    <row r="496" spans="13:16" ht="15">
      <c r="M496" s="17"/>
      <c r="N496" s="17"/>
      <c r="P496" s="29"/>
    </row>
    <row r="497" spans="13:14" ht="15">
      <c r="M497" s="17"/>
      <c r="N497" s="17"/>
    </row>
    <row r="498" spans="13:14" ht="15">
      <c r="M498" s="17"/>
      <c r="N498" s="17"/>
    </row>
    <row r="499" spans="13:14" ht="15">
      <c r="M499" s="17"/>
      <c r="N499" s="17"/>
    </row>
    <row r="500" spans="13:14" ht="15">
      <c r="M500" s="17"/>
      <c r="N500" s="17"/>
    </row>
    <row r="501" spans="13:14" ht="15">
      <c r="M501" s="17"/>
      <c r="N501" s="17"/>
    </row>
    <row r="502" spans="13:14" ht="15">
      <c r="M502" s="17"/>
      <c r="N502" s="17"/>
    </row>
    <row r="503" spans="13:14" ht="15">
      <c r="M503" s="17"/>
      <c r="N503" s="17"/>
    </row>
    <row r="504" spans="13:14" ht="15">
      <c r="M504" s="17"/>
      <c r="N504" s="17"/>
    </row>
    <row r="505" spans="13:14" ht="15">
      <c r="M505" s="17"/>
      <c r="N505" s="17"/>
    </row>
    <row r="506" spans="13:14" ht="15">
      <c r="M506" s="17"/>
      <c r="N506" s="17"/>
    </row>
    <row r="507" spans="13:14" ht="15">
      <c r="M507" s="17"/>
      <c r="N507" s="17"/>
    </row>
    <row r="508" spans="13:14" ht="15">
      <c r="M508" s="17"/>
      <c r="N508" s="17"/>
    </row>
    <row r="509" spans="13:14" ht="15">
      <c r="M509" s="17"/>
      <c r="N509" s="17"/>
    </row>
    <row r="510" spans="13:14" ht="15">
      <c r="M510" s="17"/>
      <c r="N510" s="17"/>
    </row>
    <row r="511" spans="13:14" ht="15">
      <c r="M511" s="17"/>
      <c r="N511" s="17"/>
    </row>
    <row r="512" spans="13:14" ht="15">
      <c r="M512" s="17"/>
      <c r="N512" s="17"/>
    </row>
    <row r="513" spans="13:14" ht="15">
      <c r="M513" s="17"/>
      <c r="N513" s="17"/>
    </row>
    <row r="514" spans="13:14" ht="15">
      <c r="M514" s="17"/>
      <c r="N514" s="17"/>
    </row>
    <row r="515" spans="13:14" ht="15">
      <c r="M515" s="17"/>
      <c r="N515" s="17"/>
    </row>
    <row r="516" spans="13:14" ht="15">
      <c r="M516" s="17"/>
      <c r="N516" s="17"/>
    </row>
    <row r="517" spans="13:14" ht="15">
      <c r="M517" s="17"/>
      <c r="N517" s="17"/>
    </row>
    <row r="518" spans="13:14" ht="15">
      <c r="M518" s="17"/>
      <c r="N518" s="17"/>
    </row>
    <row r="519" spans="13:14" ht="15">
      <c r="M519" s="17"/>
      <c r="N519" s="17"/>
    </row>
    <row r="520" spans="13:14" ht="15">
      <c r="M520" s="17"/>
      <c r="N520" s="17"/>
    </row>
    <row r="521" spans="13:14" ht="15">
      <c r="M521" s="17"/>
      <c r="N521" s="17"/>
    </row>
    <row r="522" spans="13:14" ht="15">
      <c r="M522" s="17"/>
      <c r="N522" s="17"/>
    </row>
    <row r="523" spans="13:14" ht="15">
      <c r="M523" s="17"/>
      <c r="N523" s="17"/>
    </row>
    <row r="524" spans="13:14" ht="15">
      <c r="M524" s="17"/>
      <c r="N524" s="17"/>
    </row>
    <row r="525" spans="13:14" ht="15">
      <c r="M525" s="17"/>
      <c r="N525" s="17"/>
    </row>
    <row r="526" spans="13:14" ht="15">
      <c r="M526" s="17"/>
      <c r="N526" s="17"/>
    </row>
    <row r="527" spans="13:14" ht="15">
      <c r="M527" s="17"/>
      <c r="N527" s="17"/>
    </row>
    <row r="528" spans="13:14" ht="15">
      <c r="M528" s="17"/>
      <c r="N528" s="17"/>
    </row>
    <row r="529" spans="13:14" ht="15">
      <c r="M529" s="17"/>
      <c r="N529" s="17"/>
    </row>
    <row r="530" spans="13:14" ht="15">
      <c r="M530" s="17"/>
      <c r="N530" s="17"/>
    </row>
    <row r="531" spans="13:14" ht="15">
      <c r="M531" s="17"/>
      <c r="N531" s="17"/>
    </row>
    <row r="532" spans="13:14" ht="15">
      <c r="M532" s="17"/>
      <c r="N532" s="17"/>
    </row>
    <row r="533" spans="13:14" ht="15">
      <c r="M533" s="17"/>
      <c r="N533" s="17"/>
    </row>
    <row r="534" spans="13:14" ht="15">
      <c r="M534" s="17"/>
      <c r="N534" s="17"/>
    </row>
    <row r="535" spans="13:14" ht="15">
      <c r="M535" s="17"/>
      <c r="N535" s="17"/>
    </row>
    <row r="536" spans="13:14" ht="15">
      <c r="M536" s="17"/>
      <c r="N536" s="17"/>
    </row>
    <row r="537" spans="13:14" ht="15">
      <c r="M537" s="17"/>
      <c r="N537" s="17"/>
    </row>
  </sheetData>
  <sheetProtection/>
  <mergeCells count="13">
    <mergeCell ref="T10:W10"/>
    <mergeCell ref="B378:L382"/>
    <mergeCell ref="N281:O281"/>
    <mergeCell ref="N9:O9"/>
    <mergeCell ref="L9:M9"/>
    <mergeCell ref="L57:M57"/>
    <mergeCell ref="L164:M164"/>
    <mergeCell ref="B215:C215"/>
    <mergeCell ref="L281:M281"/>
    <mergeCell ref="L245:M245"/>
    <mergeCell ref="N57:O57"/>
    <mergeCell ref="N164:O164"/>
    <mergeCell ref="N245:O245"/>
  </mergeCells>
  <hyperlinks>
    <hyperlink ref="A98" r:id="rId1" display="&amp;^%$#@*"/>
    <hyperlink ref="A315" r:id="rId2" display="&amp;^%$#@*"/>
    <hyperlink ref="A318" r:id="rId3" display="&amp;^%$#@*"/>
  </hyperlinks>
  <printOptions/>
  <pageMargins left="1.38" right="0.3937007874015748" top="0.8661417322834646" bottom="0.7480314960629921" header="0" footer="0.31496062992125984"/>
  <pageSetup horizontalDpi="600" verticalDpi="600" orientation="portrait" scale="46" r:id="rId7"/>
  <headerFooter>
    <oddFooter>&amp;C&amp;A&amp;RPágina &amp;P</oddFooter>
  </headerFooter>
  <rowBreaks count="3" manualBreakCount="3">
    <brk id="55" max="43" man="1"/>
    <brk id="142" max="43" man="1"/>
    <brk id="279" max="43" man="1"/>
  </rowBreaks>
  <ignoredErrors>
    <ignoredError sqref="I253:J253 H253" formulaRange="1"/>
  </ignoredErrors>
  <drawing r:id="rId6"/>
  <legacyDrawing r:id="rId5"/>
</worksheet>
</file>

<file path=xl/worksheets/sheet8.xml><?xml version="1.0" encoding="utf-8"?>
<worksheet xmlns="http://schemas.openxmlformats.org/spreadsheetml/2006/main" xmlns:r="http://schemas.openxmlformats.org/officeDocument/2006/relationships">
  <dimension ref="A1:J74"/>
  <sheetViews>
    <sheetView zoomScale="130" zoomScaleNormal="130" zoomScalePageLayoutView="0" workbookViewId="0" topLeftCell="A1">
      <selection activeCell="F12" sqref="F12"/>
    </sheetView>
  </sheetViews>
  <sheetFormatPr defaultColWidth="11.421875" defaultRowHeight="15"/>
  <cols>
    <col min="6" max="6" width="20.00390625" style="0" customWidth="1"/>
    <col min="7" max="7" width="16.00390625" style="0" customWidth="1"/>
    <col min="10" max="10" width="13.8515625" style="0" bestFit="1" customWidth="1"/>
  </cols>
  <sheetData>
    <row r="1" spans="6:10" ht="15">
      <c r="F1" s="17"/>
      <c r="J1" s="227"/>
    </row>
    <row r="2" spans="2:5" ht="18.75">
      <c r="B2" s="32" t="s">
        <v>547</v>
      </c>
      <c r="C2" s="31"/>
      <c r="D2" s="31"/>
      <c r="E2" s="31"/>
    </row>
    <row r="3" spans="1:6" ht="18.75">
      <c r="A3" s="44" t="s">
        <v>846</v>
      </c>
      <c r="B3" s="44"/>
      <c r="C3" s="44"/>
      <c r="D3" s="44"/>
      <c r="E3" s="44"/>
      <c r="F3" s="44"/>
    </row>
    <row r="4" spans="1:6" ht="18.75">
      <c r="A4" s="44"/>
      <c r="B4" s="633">
        <v>2022</v>
      </c>
      <c r="C4" s="633"/>
      <c r="D4" s="633"/>
      <c r="E4" s="633"/>
      <c r="F4" s="633"/>
    </row>
    <row r="5" ht="15">
      <c r="F5" s="17"/>
    </row>
    <row r="6" spans="1:6" ht="18.75">
      <c r="A6" s="33"/>
      <c r="B6" s="32"/>
      <c r="C6" s="31"/>
      <c r="D6" s="31"/>
      <c r="E6" s="31"/>
      <c r="F6" s="32"/>
    </row>
    <row r="7" spans="2:7" ht="18.75">
      <c r="B7" s="31"/>
      <c r="C7" s="31"/>
      <c r="D7" s="31"/>
      <c r="E7" s="31"/>
      <c r="F7" s="61" t="s">
        <v>534</v>
      </c>
      <c r="G7" s="62"/>
    </row>
    <row r="8" spans="2:6" ht="18.75">
      <c r="B8" s="34" t="s">
        <v>693</v>
      </c>
      <c r="C8" s="31"/>
      <c r="D8" s="31"/>
      <c r="E8" s="31"/>
      <c r="F8" s="60">
        <v>2022</v>
      </c>
    </row>
    <row r="9" spans="2:8" ht="15">
      <c r="B9" s="31" t="s">
        <v>539</v>
      </c>
      <c r="C9" s="31"/>
      <c r="D9" s="31"/>
      <c r="E9" s="31"/>
      <c r="F9" s="52">
        <v>420259577.08</v>
      </c>
      <c r="H9" s="17"/>
    </row>
    <row r="10" spans="2:6" ht="15">
      <c r="B10" s="31" t="s">
        <v>535</v>
      </c>
      <c r="C10" s="31"/>
      <c r="D10" s="31"/>
      <c r="E10" s="31"/>
      <c r="F10" s="52">
        <v>0</v>
      </c>
    </row>
    <row r="11" spans="2:6" ht="15">
      <c r="B11" s="31" t="s">
        <v>611</v>
      </c>
      <c r="C11" s="31"/>
      <c r="D11" s="31"/>
      <c r="E11" s="31"/>
      <c r="F11" s="229">
        <f>3327-3</f>
        <v>3324</v>
      </c>
    </row>
    <row r="12" spans="2:6" ht="15">
      <c r="B12" s="31" t="s">
        <v>538</v>
      </c>
      <c r="C12" s="31"/>
      <c r="D12" s="31"/>
      <c r="E12" s="31"/>
      <c r="F12" s="228">
        <v>-721450</v>
      </c>
    </row>
    <row r="13" spans="2:6" ht="15.75">
      <c r="B13" s="33" t="s">
        <v>933</v>
      </c>
      <c r="C13" s="31"/>
      <c r="D13" s="31"/>
      <c r="E13" s="31"/>
      <c r="F13" s="50">
        <f>SUM(F9:F12)</f>
        <v>419541451.08</v>
      </c>
    </row>
    <row r="14" spans="2:6" ht="15">
      <c r="B14" s="31"/>
      <c r="C14" s="31"/>
      <c r="D14" s="31"/>
      <c r="E14" s="31"/>
      <c r="F14" s="17"/>
    </row>
    <row r="15" spans="2:6" ht="15">
      <c r="B15" s="31" t="s">
        <v>540</v>
      </c>
      <c r="C15" s="31"/>
      <c r="D15" s="31"/>
      <c r="E15" s="31"/>
      <c r="F15" s="17"/>
    </row>
    <row r="16" spans="2:6" ht="15">
      <c r="B16" s="31"/>
      <c r="C16" s="31"/>
      <c r="D16" s="31"/>
      <c r="E16" s="31"/>
      <c r="F16" s="17"/>
    </row>
    <row r="17" spans="2:6" ht="15">
      <c r="B17" s="31"/>
      <c r="C17" s="31"/>
      <c r="D17" s="31"/>
      <c r="E17" s="31"/>
      <c r="F17" s="17"/>
    </row>
    <row r="18" spans="2:7" ht="18.75">
      <c r="B18" s="31"/>
      <c r="C18" s="31"/>
      <c r="D18" s="31"/>
      <c r="E18" s="31"/>
      <c r="F18" s="61" t="s">
        <v>534</v>
      </c>
      <c r="G18" s="62"/>
    </row>
    <row r="19" spans="2:6" ht="18.75">
      <c r="B19" s="34" t="s">
        <v>541</v>
      </c>
      <c r="C19" s="31"/>
      <c r="D19" s="31"/>
      <c r="E19" s="31"/>
      <c r="F19" s="60">
        <v>2022</v>
      </c>
    </row>
    <row r="20" spans="2:6" ht="15">
      <c r="B20" s="31" t="s">
        <v>539</v>
      </c>
      <c r="C20" s="31"/>
      <c r="D20" s="31"/>
      <c r="E20" s="31"/>
      <c r="F20" s="52">
        <f>26003754.66-935.66</f>
        <v>26002819</v>
      </c>
    </row>
    <row r="21" spans="2:6" ht="15">
      <c r="B21" s="31" t="s">
        <v>535</v>
      </c>
      <c r="C21" s="31"/>
      <c r="D21" s="31"/>
      <c r="E21" s="31"/>
      <c r="F21" s="52">
        <v>0</v>
      </c>
    </row>
    <row r="22" spans="2:6" ht="15">
      <c r="B22" s="31" t="s">
        <v>611</v>
      </c>
      <c r="C22" s="31"/>
      <c r="D22" s="31"/>
      <c r="E22" s="31"/>
      <c r="F22" s="52">
        <v>935.66</v>
      </c>
    </row>
    <row r="23" spans="2:6" ht="15" hidden="1">
      <c r="B23" s="31" t="s">
        <v>537</v>
      </c>
      <c r="C23" s="31"/>
      <c r="D23" s="31"/>
      <c r="E23" s="31"/>
      <c r="F23" s="52"/>
    </row>
    <row r="24" spans="2:6" ht="15">
      <c r="B24" s="31" t="s">
        <v>538</v>
      </c>
      <c r="C24" s="31"/>
      <c r="D24" s="31"/>
      <c r="E24" s="31"/>
      <c r="F24" s="228">
        <v>0</v>
      </c>
    </row>
    <row r="25" spans="2:6" ht="15.75">
      <c r="B25" s="33" t="s">
        <v>543</v>
      </c>
      <c r="C25" s="31"/>
      <c r="D25" s="31"/>
      <c r="E25" s="31"/>
      <c r="F25" s="50">
        <f>SUM(F20:F24)</f>
        <v>26003754.66</v>
      </c>
    </row>
    <row r="26" spans="2:6" ht="15.75">
      <c r="B26" s="33"/>
      <c r="C26" s="31"/>
      <c r="D26" s="31"/>
      <c r="E26" s="31"/>
      <c r="F26" s="50"/>
    </row>
    <row r="27" spans="2:6" ht="15.75">
      <c r="B27" s="33"/>
      <c r="C27" s="31"/>
      <c r="D27" s="31"/>
      <c r="E27" s="31"/>
      <c r="F27" s="50"/>
    </row>
    <row r="28" spans="2:6" ht="15.75">
      <c r="B28" s="33"/>
      <c r="C28" s="31"/>
      <c r="D28" s="31"/>
      <c r="E28" s="31"/>
      <c r="F28" s="50"/>
    </row>
    <row r="29" spans="2:7" ht="18.75">
      <c r="B29" s="31"/>
      <c r="C29" s="31"/>
      <c r="D29" s="31"/>
      <c r="E29" s="31"/>
      <c r="F29" s="61" t="s">
        <v>534</v>
      </c>
      <c r="G29" s="62"/>
    </row>
    <row r="30" spans="2:6" ht="18.75">
      <c r="B30" s="34" t="s">
        <v>544</v>
      </c>
      <c r="C30" s="31"/>
      <c r="D30" s="31"/>
      <c r="E30" s="31"/>
      <c r="F30" s="60">
        <v>2022</v>
      </c>
    </row>
    <row r="31" spans="2:6" ht="15">
      <c r="B31" s="31" t="s">
        <v>539</v>
      </c>
      <c r="C31" s="31"/>
      <c r="D31" s="31"/>
      <c r="E31" s="31"/>
      <c r="F31" s="52">
        <f>21398874-113</f>
        <v>21398761</v>
      </c>
    </row>
    <row r="32" spans="2:6" ht="15" hidden="1">
      <c r="B32" s="31" t="s">
        <v>535</v>
      </c>
      <c r="C32" s="31"/>
      <c r="D32" s="31"/>
      <c r="E32" s="31"/>
      <c r="F32" s="52">
        <v>0</v>
      </c>
    </row>
    <row r="33" spans="2:6" ht="15">
      <c r="B33" s="31" t="s">
        <v>611</v>
      </c>
      <c r="C33" s="31"/>
      <c r="D33" s="31"/>
      <c r="E33" s="31"/>
      <c r="F33" s="52">
        <v>0</v>
      </c>
    </row>
    <row r="34" spans="2:6" ht="15" hidden="1">
      <c r="B34" s="31" t="s">
        <v>537</v>
      </c>
      <c r="C34" s="31"/>
      <c r="D34" s="31"/>
      <c r="E34" s="31"/>
      <c r="F34" s="52"/>
    </row>
    <row r="35" spans="2:6" ht="15">
      <c r="B35" s="31" t="s">
        <v>538</v>
      </c>
      <c r="C35" s="31"/>
      <c r="D35" s="31"/>
      <c r="E35" s="31"/>
      <c r="F35" s="53">
        <v>113</v>
      </c>
    </row>
    <row r="36" spans="2:6" ht="15.75">
      <c r="B36" s="33" t="s">
        <v>543</v>
      </c>
      <c r="C36" s="31"/>
      <c r="D36" s="31"/>
      <c r="E36" s="31"/>
      <c r="F36" s="50">
        <f>SUM(F31:F35)</f>
        <v>21398874</v>
      </c>
    </row>
    <row r="37" spans="2:6" ht="15.75">
      <c r="B37" s="33"/>
      <c r="C37" s="31"/>
      <c r="D37" s="31"/>
      <c r="E37" s="31"/>
      <c r="F37" s="50"/>
    </row>
    <row r="38" spans="2:6" ht="15.75">
      <c r="B38" s="33"/>
      <c r="C38" s="31"/>
      <c r="D38" s="31"/>
      <c r="E38" s="31"/>
      <c r="F38" s="50"/>
    </row>
    <row r="39" spans="2:6" ht="15.75">
      <c r="B39" s="33"/>
      <c r="C39" s="31"/>
      <c r="D39" s="31"/>
      <c r="E39" s="31"/>
      <c r="F39" s="50"/>
    </row>
    <row r="40" spans="2:7" ht="18.75">
      <c r="B40" s="31"/>
      <c r="C40" s="31"/>
      <c r="D40" s="31"/>
      <c r="E40" s="31"/>
      <c r="F40" s="61" t="s">
        <v>534</v>
      </c>
      <c r="G40" s="62"/>
    </row>
    <row r="41" spans="2:6" ht="18.75">
      <c r="B41" s="34" t="s">
        <v>545</v>
      </c>
      <c r="C41" s="31"/>
      <c r="D41" s="31"/>
      <c r="E41" s="31"/>
      <c r="F41" s="60">
        <v>2022</v>
      </c>
    </row>
    <row r="42" spans="2:6" ht="15">
      <c r="B42" s="31" t="s">
        <v>539</v>
      </c>
      <c r="C42" s="31"/>
      <c r="D42" s="31"/>
      <c r="E42" s="31"/>
      <c r="F42" s="52">
        <v>7508742</v>
      </c>
    </row>
    <row r="43" spans="2:6" ht="15" hidden="1">
      <c r="B43" s="31" t="s">
        <v>535</v>
      </c>
      <c r="C43" s="31"/>
      <c r="D43" s="31"/>
      <c r="E43" s="31"/>
      <c r="F43" s="52">
        <v>0</v>
      </c>
    </row>
    <row r="44" spans="2:6" ht="15" hidden="1">
      <c r="B44" s="31" t="s">
        <v>536</v>
      </c>
      <c r="C44" s="31"/>
      <c r="D44" s="31"/>
      <c r="E44" s="31"/>
      <c r="F44" s="52">
        <v>0</v>
      </c>
    </row>
    <row r="45" spans="2:6" ht="15">
      <c r="B45" s="31" t="s">
        <v>611</v>
      </c>
      <c r="C45" s="31"/>
      <c r="D45" s="31"/>
      <c r="E45" s="31"/>
      <c r="F45" s="53">
        <v>0</v>
      </c>
    </row>
    <row r="46" spans="2:6" ht="15" hidden="1">
      <c r="B46" s="31" t="s">
        <v>537</v>
      </c>
      <c r="C46" s="31"/>
      <c r="D46" s="31"/>
      <c r="E46" s="31"/>
      <c r="F46" s="17"/>
    </row>
    <row r="47" spans="2:6" ht="15" hidden="1">
      <c r="B47" s="31" t="s">
        <v>542</v>
      </c>
      <c r="C47" s="31"/>
      <c r="D47" s="31"/>
      <c r="E47" s="31"/>
      <c r="F47" s="35">
        <v>0</v>
      </c>
    </row>
    <row r="48" spans="2:6" ht="15.75">
      <c r="B48" s="33" t="s">
        <v>546</v>
      </c>
      <c r="C48" s="31"/>
      <c r="D48" s="31"/>
      <c r="E48" s="31"/>
      <c r="F48" s="50">
        <f>SUM(F42:F47)</f>
        <v>7508742</v>
      </c>
    </row>
    <row r="49" ht="15">
      <c r="F49" s="17"/>
    </row>
    <row r="50" ht="15">
      <c r="F50" s="17"/>
    </row>
    <row r="51" spans="2:5" ht="18.75">
      <c r="B51" s="32" t="s">
        <v>547</v>
      </c>
      <c r="C51" s="31"/>
      <c r="D51" s="31"/>
      <c r="E51" s="31"/>
    </row>
    <row r="52" spans="2:6" ht="18.75">
      <c r="B52" s="44"/>
      <c r="C52" s="44" t="s">
        <v>851</v>
      </c>
      <c r="D52" s="44"/>
      <c r="E52" s="44"/>
      <c r="F52" s="44"/>
    </row>
    <row r="53" spans="2:6" ht="18.75">
      <c r="B53" s="633">
        <v>2022</v>
      </c>
      <c r="C53" s="633"/>
      <c r="D53" s="633"/>
      <c r="E53" s="633"/>
      <c r="F53" s="633"/>
    </row>
    <row r="55" spans="1:6" ht="18.75">
      <c r="A55" s="33"/>
      <c r="B55" s="32"/>
      <c r="C55" s="31"/>
      <c r="D55" s="31"/>
      <c r="E55" s="31"/>
      <c r="F55" s="32"/>
    </row>
    <row r="56" spans="2:7" ht="18.75">
      <c r="B56" s="31"/>
      <c r="C56" s="31"/>
      <c r="D56" s="31"/>
      <c r="E56" s="31"/>
      <c r="F56" s="61" t="s">
        <v>534</v>
      </c>
      <c r="G56" s="62"/>
    </row>
    <row r="57" spans="2:6" ht="18.75">
      <c r="B57" s="34" t="s">
        <v>850</v>
      </c>
      <c r="C57" s="31"/>
      <c r="D57" s="31"/>
      <c r="E57" s="31"/>
      <c r="F57" s="60">
        <v>2022</v>
      </c>
    </row>
    <row r="58" spans="2:6" ht="15">
      <c r="B58" s="31" t="s">
        <v>539</v>
      </c>
      <c r="C58" s="31"/>
      <c r="D58" s="31"/>
      <c r="E58" s="31"/>
      <c r="F58" s="17">
        <f>+F9+F20+F31+F42</f>
        <v>475169899.08</v>
      </c>
    </row>
    <row r="59" spans="2:6" ht="15">
      <c r="B59" s="31" t="s">
        <v>535</v>
      </c>
      <c r="C59" s="31"/>
      <c r="D59" s="31"/>
      <c r="E59" s="31"/>
      <c r="F59" s="17">
        <f>+F10+F21</f>
        <v>0</v>
      </c>
    </row>
    <row r="60" spans="2:6" ht="15">
      <c r="B60" s="31" t="s">
        <v>611</v>
      </c>
      <c r="C60" s="31"/>
      <c r="D60" s="31"/>
      <c r="E60" s="31"/>
      <c r="F60" s="17">
        <f>+F11+F22+F33+F45</f>
        <v>4259.66</v>
      </c>
    </row>
    <row r="61" spans="2:6" ht="15">
      <c r="B61" s="31" t="s">
        <v>538</v>
      </c>
      <c r="C61" s="31"/>
      <c r="D61" s="31"/>
      <c r="E61" s="31"/>
      <c r="F61" s="17">
        <f>+F12+F24+F35</f>
        <v>-721337</v>
      </c>
    </row>
    <row r="62" spans="2:6" ht="15.75">
      <c r="B62" s="33" t="s">
        <v>847</v>
      </c>
      <c r="C62" s="31"/>
      <c r="D62" s="31"/>
      <c r="E62" s="31"/>
      <c r="F62" s="50">
        <f>SUM(F58:F61)</f>
        <v>474452821.74</v>
      </c>
    </row>
    <row r="63" spans="2:6" ht="18.75">
      <c r="B63" s="34" t="s">
        <v>848</v>
      </c>
      <c r="C63" s="31"/>
      <c r="D63" s="31"/>
      <c r="E63" s="31"/>
      <c r="F63" s="17"/>
    </row>
    <row r="64" spans="2:7" ht="15">
      <c r="B64" s="31" t="s">
        <v>849</v>
      </c>
      <c r="C64" s="31"/>
      <c r="D64" s="31"/>
      <c r="E64" s="31"/>
      <c r="F64" s="402">
        <v>59100259.92</v>
      </c>
      <c r="G64" s="4"/>
    </row>
    <row r="65" spans="2:6" ht="15">
      <c r="B65" s="400" t="s">
        <v>528</v>
      </c>
      <c r="F65" s="403">
        <v>1142661.66</v>
      </c>
    </row>
    <row r="66" spans="2:6" ht="15.75">
      <c r="B66" s="399" t="s">
        <v>932</v>
      </c>
      <c r="C66" s="401"/>
      <c r="D66" s="401"/>
      <c r="E66" s="401"/>
      <c r="F66" s="398">
        <f>+F62+F64+F65</f>
        <v>534695743.32000005</v>
      </c>
    </row>
    <row r="68" s="4" customFormat="1" ht="15"/>
    <row r="69" s="4" customFormat="1" ht="15"/>
    <row r="70" s="4" customFormat="1" ht="15"/>
    <row r="71" s="4" customFormat="1" ht="15"/>
    <row r="73" spans="1:3" ht="15">
      <c r="A73" s="62" t="s">
        <v>935</v>
      </c>
      <c r="B73" s="62"/>
      <c r="C73" s="62"/>
    </row>
    <row r="74" spans="1:2" ht="15">
      <c r="A74" s="401" t="s">
        <v>934</v>
      </c>
      <c r="B74" s="401"/>
    </row>
  </sheetData>
  <sheetProtection/>
  <mergeCells count="2">
    <mergeCell ref="B4:F4"/>
    <mergeCell ref="B53:F53"/>
  </mergeCells>
  <printOptions/>
  <pageMargins left="0.7" right="0.7" top="0.75" bottom="0.75" header="0.3" footer="0.3"/>
  <pageSetup horizontalDpi="600" verticalDpi="600" orientation="portrait" scale="85" r:id="rId1"/>
  <rowBreaks count="1" manualBreakCount="1">
    <brk id="49" max="9" man="1"/>
  </rowBreaks>
  <ignoredErrors>
    <ignoredError sqref="F48" formulaRange="1"/>
  </ignoredErrors>
</worksheet>
</file>

<file path=xl/worksheets/sheet9.xml><?xml version="1.0" encoding="utf-8"?>
<worksheet xmlns="http://schemas.openxmlformats.org/spreadsheetml/2006/main" xmlns:r="http://schemas.openxmlformats.org/officeDocument/2006/relationships">
  <dimension ref="A1:N31"/>
  <sheetViews>
    <sheetView workbookViewId="0" topLeftCell="B1">
      <selection activeCell="M2" sqref="M2"/>
    </sheetView>
  </sheetViews>
  <sheetFormatPr defaultColWidth="11.421875" defaultRowHeight="15"/>
  <cols>
    <col min="14" max="14" width="19.00390625" style="0" customWidth="1"/>
  </cols>
  <sheetData>
    <row r="1" spans="1:5" ht="18.75">
      <c r="A1" s="32" t="s">
        <v>636</v>
      </c>
      <c r="B1" s="31"/>
      <c r="C1" s="31"/>
      <c r="D1" s="31"/>
      <c r="E1" s="31"/>
    </row>
    <row r="2" spans="1:5" ht="18.75">
      <c r="A2" s="32" t="s">
        <v>637</v>
      </c>
      <c r="B2" s="31"/>
      <c r="C2" s="31"/>
      <c r="D2" s="31"/>
      <c r="E2" s="31"/>
    </row>
    <row r="3" spans="1:5" ht="18.75">
      <c r="A3" s="32" t="s">
        <v>638</v>
      </c>
      <c r="B3" s="44"/>
      <c r="C3" s="32" t="s">
        <v>923</v>
      </c>
      <c r="D3" s="31"/>
      <c r="E3" s="31"/>
    </row>
    <row r="7" s="172" customFormat="1" ht="15.75">
      <c r="A7" s="399" t="s">
        <v>642</v>
      </c>
    </row>
    <row r="8" s="172" customFormat="1" ht="15.75">
      <c r="A8" s="399"/>
    </row>
    <row r="9" s="172" customFormat="1" ht="15.75">
      <c r="A9" s="399"/>
    </row>
    <row r="10" spans="1:13" s="172" customFormat="1" ht="18.75">
      <c r="A10" s="483" t="s">
        <v>640</v>
      </c>
      <c r="B10" s="484"/>
      <c r="C10" s="485"/>
      <c r="D10" s="485"/>
      <c r="E10" s="485"/>
      <c r="F10" s="486"/>
      <c r="G10" s="486"/>
      <c r="H10" s="112"/>
      <c r="I10" s="112"/>
      <c r="J10" s="112"/>
      <c r="K10" s="112"/>
      <c r="L10" s="112"/>
      <c r="M10" s="112"/>
    </row>
    <row r="11" spans="1:14" s="172" customFormat="1" ht="18.75">
      <c r="A11" s="483"/>
      <c r="B11" s="487"/>
      <c r="C11" s="487"/>
      <c r="D11" s="487"/>
      <c r="E11" s="487"/>
      <c r="F11" s="487"/>
      <c r="G11" s="487"/>
      <c r="H11" s="487"/>
      <c r="I11" s="487"/>
      <c r="J11" s="487"/>
      <c r="K11" s="487"/>
      <c r="L11" s="487"/>
      <c r="M11" s="487"/>
      <c r="N11" s="488"/>
    </row>
    <row r="12" spans="1:14" s="172" customFormat="1" ht="15.75">
      <c r="A12" s="489" t="s">
        <v>924</v>
      </c>
      <c r="B12" s="489"/>
      <c r="C12" s="489"/>
      <c r="D12" s="489"/>
      <c r="E12" s="489"/>
      <c r="F12" s="489"/>
      <c r="G12" s="489"/>
      <c r="H12" s="489"/>
      <c r="I12" s="489"/>
      <c r="J12" s="489"/>
      <c r="K12" s="489"/>
      <c r="L12" s="489"/>
      <c r="M12" s="489"/>
      <c r="N12" s="489"/>
    </row>
    <row r="13" spans="1:14" s="172" customFormat="1" ht="15.75">
      <c r="A13" s="489" t="s">
        <v>925</v>
      </c>
      <c r="B13" s="489"/>
      <c r="C13" s="489"/>
      <c r="D13" s="489"/>
      <c r="E13" s="489"/>
      <c r="F13" s="489"/>
      <c r="G13" s="489"/>
      <c r="H13" s="489"/>
      <c r="I13" s="489"/>
      <c r="J13" s="489"/>
      <c r="K13" s="489"/>
      <c r="L13" s="489"/>
      <c r="M13" s="489"/>
      <c r="N13" s="489"/>
    </row>
    <row r="14" s="172" customFormat="1" ht="15.75">
      <c r="A14" s="399"/>
    </row>
    <row r="15" s="172" customFormat="1" ht="15.75">
      <c r="A15" s="399" t="s">
        <v>641</v>
      </c>
    </row>
    <row r="16" s="172" customFormat="1" ht="15.75">
      <c r="A16" s="399"/>
    </row>
    <row r="17" s="172" customFormat="1" ht="18.75">
      <c r="A17" s="483" t="s">
        <v>639</v>
      </c>
    </row>
    <row r="18" s="172" customFormat="1" ht="18.75">
      <c r="A18" s="483"/>
    </row>
    <row r="19" spans="1:14" s="494" customFormat="1" ht="16.5">
      <c r="A19" s="490" t="s">
        <v>931</v>
      </c>
      <c r="B19" s="491"/>
      <c r="C19" s="492"/>
      <c r="D19" s="492"/>
      <c r="E19" s="492"/>
      <c r="F19" s="493"/>
      <c r="G19" s="493"/>
      <c r="H19" s="493"/>
      <c r="I19" s="493"/>
      <c r="J19" s="493"/>
      <c r="K19" s="493"/>
      <c r="L19" s="493"/>
      <c r="M19" s="493"/>
      <c r="N19" s="489"/>
    </row>
    <row r="20" spans="1:14" s="494" customFormat="1" ht="16.5">
      <c r="A20" s="495"/>
      <c r="B20" s="490"/>
      <c r="C20" s="492"/>
      <c r="D20" s="492"/>
      <c r="E20" s="492"/>
      <c r="F20" s="493"/>
      <c r="G20" s="493"/>
      <c r="H20" s="493"/>
      <c r="I20" s="493"/>
      <c r="J20" s="493"/>
      <c r="K20" s="493"/>
      <c r="L20" s="493"/>
      <c r="M20" s="493"/>
      <c r="N20" s="489"/>
    </row>
    <row r="21" spans="1:13" s="494" customFormat="1" ht="16.5">
      <c r="A21" s="495"/>
      <c r="B21" s="496"/>
      <c r="C21" s="497"/>
      <c r="D21" s="497"/>
      <c r="E21" s="497"/>
      <c r="F21" s="498"/>
      <c r="G21" s="498"/>
      <c r="H21" s="499"/>
      <c r="I21" s="499"/>
      <c r="J21" s="499"/>
      <c r="K21" s="499"/>
      <c r="L21" s="499"/>
      <c r="M21" s="499"/>
    </row>
    <row r="22" spans="1:13" s="172" customFormat="1" ht="16.5">
      <c r="A22" s="495" t="s">
        <v>643</v>
      </c>
      <c r="B22" s="496"/>
      <c r="C22" s="497"/>
      <c r="D22" s="497"/>
      <c r="E22" s="497"/>
      <c r="F22" s="498"/>
      <c r="G22" s="498"/>
      <c r="H22" s="499"/>
      <c r="I22" s="499"/>
      <c r="J22" s="499"/>
      <c r="K22" s="499"/>
      <c r="L22" s="499"/>
      <c r="M22" s="112"/>
    </row>
    <row r="23" spans="1:14" s="172" customFormat="1" ht="15.75">
      <c r="A23" s="399" t="s">
        <v>644</v>
      </c>
      <c r="B23" s="500"/>
      <c r="C23" s="500"/>
      <c r="D23" s="500"/>
      <c r="E23" s="500"/>
      <c r="F23" s="500"/>
      <c r="G23" s="500"/>
      <c r="H23" s="500"/>
      <c r="I23" s="500"/>
      <c r="J23" s="500"/>
      <c r="K23" s="500"/>
      <c r="L23" s="500"/>
      <c r="M23" s="500"/>
      <c r="N23" s="500"/>
    </row>
    <row r="24" spans="1:14" s="172" customFormat="1" ht="15.75">
      <c r="A24" s="399"/>
      <c r="B24" s="500"/>
      <c r="C24" s="500"/>
      <c r="D24" s="500"/>
      <c r="E24" s="500"/>
      <c r="F24" s="500"/>
      <c r="G24" s="500"/>
      <c r="H24" s="500"/>
      <c r="I24" s="500"/>
      <c r="J24" s="500"/>
      <c r="K24" s="500"/>
      <c r="L24" s="500"/>
      <c r="M24" s="500"/>
      <c r="N24" s="500"/>
    </row>
    <row r="25" s="172" customFormat="1" ht="18.75">
      <c r="A25" s="483" t="s">
        <v>528</v>
      </c>
    </row>
    <row r="26" s="172" customFormat="1" ht="15"/>
    <row r="27" s="172" customFormat="1" ht="15.75">
      <c r="A27" s="489" t="s">
        <v>930</v>
      </c>
    </row>
    <row r="28" s="172" customFormat="1" ht="15.75">
      <c r="A28" s="489" t="s">
        <v>928</v>
      </c>
    </row>
    <row r="29" s="172" customFormat="1" ht="15.75">
      <c r="A29" s="489" t="s">
        <v>926</v>
      </c>
    </row>
    <row r="30" s="172" customFormat="1" ht="15.75">
      <c r="A30" s="489" t="s">
        <v>927</v>
      </c>
    </row>
    <row r="31" s="172" customFormat="1" ht="15.75">
      <c r="A31" s="489" t="s">
        <v>929</v>
      </c>
    </row>
    <row r="32" s="172" customFormat="1" ht="15"/>
    <row r="33" s="172" customFormat="1" ht="15"/>
  </sheetData>
  <sheetProtection/>
  <printOptions/>
  <pageMargins left="0.7086614173228347" right="0.7086614173228347" top="0.7480314960629921" bottom="0.7480314960629921" header="0.31496062992125984" footer="0.31496062992125984"/>
  <pageSetup horizontalDpi="600" verticalDpi="600" orientation="landscape" scale="55" r:id="rId1"/>
  <colBreaks count="1" manualBreakCount="1">
    <brk id="16"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Melbi Santos</dc:creator>
  <cp:keywords/>
  <dc:description/>
  <cp:lastModifiedBy>Yenny Acosta Hernandez</cp:lastModifiedBy>
  <cp:lastPrinted>2023-01-25T14:09:26Z</cp:lastPrinted>
  <dcterms:created xsi:type="dcterms:W3CDTF">2013-01-30T15:16:21Z</dcterms:created>
  <dcterms:modified xsi:type="dcterms:W3CDTF">2023-01-25T18:34:02Z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